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ttps://mailmissouri.sharepoint.com/sites/InstitutionalResearch-UMSL-Ogrp/Shared Documents/Fact Book/FY2023/"/>
    </mc:Choice>
  </mc:AlternateContent>
  <xr:revisionPtr revIDLastSave="22" documentId="8_{80E455EE-6317-4178-AC52-2E63726A1E76}" xr6:coauthVersionLast="45" xr6:coauthVersionMax="47" xr10:uidLastSave="{18C7056D-403C-44DE-86B3-81792D10A3F9}"/>
  <bookViews>
    <workbookView xWindow="-110" yWindow="-110" windowWidth="19420" windowHeight="10300" tabRatio="602" xr2:uid="{00000000-000D-0000-FFFF-FFFF00000000}"/>
  </bookViews>
  <sheets>
    <sheet name="UMSL" sheetId="14" r:id="rId1"/>
  </sheets>
  <definedNames>
    <definedName name="_1__123Graph_ACHART_1" hidden="1">#REF!</definedName>
    <definedName name="_10__123Graph_ACHART_18" hidden="1">#REF!</definedName>
    <definedName name="_11__123Graph_ACHART_19" hidden="1">#REF!</definedName>
    <definedName name="_12__123Graph_ACHART_2" hidden="1">#REF!</definedName>
    <definedName name="_13__123Graph_ACHART_20" hidden="1">#REF!</definedName>
    <definedName name="_14__123Graph_ACHART_21" hidden="1">#REF!</definedName>
    <definedName name="_15__123Graph_ACHART_22" hidden="1">#REF!</definedName>
    <definedName name="_16__123Graph_ACHART_23" hidden="1">#REF!</definedName>
    <definedName name="_17__123Graph_ACHART_24" hidden="1">#REF!</definedName>
    <definedName name="_18__123Graph_ACHART_3" hidden="1">#REF!</definedName>
    <definedName name="_19__123Graph_ACHART_4" hidden="1">#REF!</definedName>
    <definedName name="_2__123Graph_ACHART_10" hidden="1">#REF!</definedName>
    <definedName name="_20__123Graph_ACHART_5" hidden="1">#REF!</definedName>
    <definedName name="_21__123Graph_ACHART_6" hidden="1">#REF!</definedName>
    <definedName name="_22__123Graph_ACHART_7" hidden="1">#REF!</definedName>
    <definedName name="_23__123Graph_ACHART_8" hidden="1">#REF!</definedName>
    <definedName name="_24__123Graph_ACHART_9" hidden="1">#REF!</definedName>
    <definedName name="_25__123Graph_XCHART_1" hidden="1">#REF!</definedName>
    <definedName name="_26__123Graph_XCHART_10" hidden="1">#REF!</definedName>
    <definedName name="_27__123Graph_XCHART_11" hidden="1">#REF!</definedName>
    <definedName name="_28__123Graph_XCHART_12" hidden="1">#REF!</definedName>
    <definedName name="_29__123Graph_XCHART_13" hidden="1">#REF!</definedName>
    <definedName name="_3__123Graph_ACHART_11" hidden="1">#REF!</definedName>
    <definedName name="_30__123Graph_XCHART_14" hidden="1">#REF!</definedName>
    <definedName name="_31__123Graph_XCHART_15" hidden="1">#REF!</definedName>
    <definedName name="_32__123Graph_XCHART_16" hidden="1">#REF!</definedName>
    <definedName name="_33__123Graph_XCHART_17" hidden="1">#REF!</definedName>
    <definedName name="_34__123Graph_XCHART_18" hidden="1">#REF!</definedName>
    <definedName name="_35__123Graph_XCHART_19" hidden="1">#REF!</definedName>
    <definedName name="_36__123Graph_XCHART_2" hidden="1">#REF!</definedName>
    <definedName name="_37__123Graph_XCHART_20" hidden="1">#REF!</definedName>
    <definedName name="_38__123Graph_XCHART_21" hidden="1">#REF!</definedName>
    <definedName name="_39__123Graph_XCHART_22" hidden="1">#REF!</definedName>
    <definedName name="_4__123Graph_ACHART_12" hidden="1">#REF!</definedName>
    <definedName name="_40__123Graph_XCHART_23" hidden="1">#REF!</definedName>
    <definedName name="_41__123Graph_XCHART_24" hidden="1">#REF!</definedName>
    <definedName name="_42__123Graph_XCHART_3" hidden="1">#REF!</definedName>
    <definedName name="_43__123Graph_XCHART_4" hidden="1">#REF!</definedName>
    <definedName name="_44__123Graph_XCHART_5" hidden="1">#REF!</definedName>
    <definedName name="_45__123Graph_XCHART_6" hidden="1">#REF!</definedName>
    <definedName name="_46__123Graph_XCHART_7" hidden="1">#REF!</definedName>
    <definedName name="_47__123Graph_XCHART_8" hidden="1">#REF!</definedName>
    <definedName name="_48__123Graph_XCHART_9" hidden="1">#REF!</definedName>
    <definedName name="_5__123Graph_ACHART_13" hidden="1">#REF!</definedName>
    <definedName name="_6__123Graph_ACHART_14" hidden="1">#REF!</definedName>
    <definedName name="_7__123Graph_ACHART_15" hidden="1">#REF!</definedName>
    <definedName name="_8__123Graph_ACHART_16" hidden="1">#REF!</definedName>
    <definedName name="_9__123Graph_ACHART_17" hidden="1">#REF!</definedName>
    <definedName name="HTML_CodePage" hidden="1">1252</definedName>
    <definedName name="HTML_Control" localSheetId="0" hidden="1">{"'UMSL'!$A$1:$AA$193"}</definedName>
    <definedName name="HTML_Control" hidden="1">{"'UMSL'!$A$1:$AA$193"}</definedName>
    <definedName name="HTML_Description" hidden="1">""</definedName>
    <definedName name="HTML_Email" hidden="1">""</definedName>
    <definedName name="HTML_Header" hidden="1">""</definedName>
    <definedName name="HTML_LastUpdate" hidden="1">"9/22/98"</definedName>
    <definedName name="HTML_LineAfter" hidden="1">FALSE</definedName>
    <definedName name="HTML_LineBefore" hidden="1">FALSE</definedName>
    <definedName name="HTML_Name" hidden="1">"Chatman"</definedName>
    <definedName name="HTML_OBDlg2" hidden="1">TRUE</definedName>
    <definedName name="HTML_OBDlg4" hidden="1">TRUE</definedName>
    <definedName name="HTML_OS" hidden="1">0</definedName>
    <definedName name="HTML_PathFile" hidden="1">"P:\BUDGET\ALISHA\stevehtml"</definedName>
    <definedName name="HTML_Title" hidden="1">"htmlver"</definedName>
    <definedName name="_xlnm.Print_Area" localSheetId="0">UMSL!$A$1:$BE$420</definedName>
    <definedName name="_xlnm.Print_Titles" localSheetId="0">UMSL!$1:$10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286" i="14" l="1"/>
  <c r="E284" i="14"/>
  <c r="F284" i="14"/>
  <c r="G284" i="14"/>
  <c r="H284" i="14"/>
  <c r="I284" i="14"/>
  <c r="J284" i="14"/>
  <c r="K284" i="14"/>
  <c r="L284" i="14"/>
  <c r="M284" i="14"/>
  <c r="N284" i="14"/>
  <c r="O284" i="14"/>
  <c r="P284" i="14"/>
  <c r="Q284" i="14"/>
  <c r="R284" i="14"/>
  <c r="S284" i="14"/>
  <c r="T284" i="14"/>
  <c r="U284" i="14"/>
  <c r="V284" i="14"/>
  <c r="W284" i="14"/>
  <c r="X284" i="14"/>
  <c r="Y284" i="14"/>
  <c r="Z284" i="14"/>
  <c r="AA284" i="14"/>
  <c r="AB284" i="14"/>
  <c r="AC284" i="14"/>
  <c r="AD284" i="14"/>
  <c r="AE284" i="14"/>
  <c r="AF284" i="14"/>
  <c r="AG284" i="14"/>
  <c r="AH284" i="14"/>
  <c r="AI284" i="14"/>
  <c r="AJ284" i="14"/>
  <c r="AK284" i="14"/>
  <c r="AL284" i="14"/>
  <c r="AM284" i="14"/>
  <c r="AN284" i="14"/>
  <c r="AO284" i="14"/>
  <c r="AP284" i="14"/>
  <c r="AM144" i="14" l="1"/>
  <c r="AM232" i="14"/>
  <c r="AM189" i="14"/>
  <c r="P334" i="14"/>
  <c r="E336" i="14"/>
  <c r="F336" i="14"/>
  <c r="G336" i="14"/>
  <c r="H336" i="14"/>
  <c r="I336" i="14"/>
  <c r="J336" i="14"/>
  <c r="K336" i="14"/>
  <c r="L336" i="14"/>
  <c r="M336" i="14"/>
  <c r="N336" i="14"/>
  <c r="O336" i="14"/>
  <c r="P336" i="14"/>
  <c r="Q336" i="14"/>
  <c r="R336" i="14"/>
  <c r="S336" i="14"/>
  <c r="T336" i="14"/>
  <c r="U336" i="14"/>
  <c r="V336" i="14"/>
  <c r="W336" i="14"/>
  <c r="X336" i="14"/>
  <c r="Y336" i="14"/>
  <c r="Z336" i="14"/>
  <c r="AA336" i="14"/>
  <c r="AB336" i="14"/>
  <c r="AC336" i="14"/>
  <c r="AD336" i="14"/>
  <c r="AE336" i="14"/>
  <c r="AF336" i="14"/>
  <c r="AG336" i="14"/>
  <c r="AH336" i="14"/>
  <c r="AI336" i="14"/>
  <c r="AJ336" i="14"/>
  <c r="AK336" i="14"/>
  <c r="AL336" i="14"/>
  <c r="AM336" i="14"/>
  <c r="AN336" i="14"/>
  <c r="AO336" i="14"/>
  <c r="AP336" i="14"/>
  <c r="AQ336" i="14"/>
  <c r="E335" i="14"/>
  <c r="F335" i="14"/>
  <c r="G335" i="14"/>
  <c r="H335" i="14"/>
  <c r="I335" i="14"/>
  <c r="J335" i="14"/>
  <c r="K335" i="14"/>
  <c r="L335" i="14"/>
  <c r="M335" i="14"/>
  <c r="N335" i="14"/>
  <c r="O335" i="14"/>
  <c r="P335" i="14"/>
  <c r="Q335" i="14"/>
  <c r="R335" i="14"/>
  <c r="S335" i="14"/>
  <c r="T335" i="14"/>
  <c r="U335" i="14"/>
  <c r="V335" i="14"/>
  <c r="W335" i="14"/>
  <c r="X335" i="14"/>
  <c r="Y335" i="14"/>
  <c r="Z335" i="14"/>
  <c r="AA335" i="14"/>
  <c r="AB335" i="14"/>
  <c r="AC335" i="14"/>
  <c r="AD335" i="14"/>
  <c r="AE335" i="14"/>
  <c r="AF335" i="14"/>
  <c r="AG335" i="14"/>
  <c r="AH335" i="14"/>
  <c r="AI335" i="14"/>
  <c r="AJ335" i="14"/>
  <c r="AK335" i="14"/>
  <c r="AL335" i="14"/>
  <c r="AM335" i="14"/>
  <c r="AN335" i="14"/>
  <c r="AO335" i="14"/>
  <c r="AP335" i="14"/>
  <c r="AQ335" i="14"/>
  <c r="E334" i="14"/>
  <c r="F334" i="14"/>
  <c r="G334" i="14"/>
  <c r="H334" i="14"/>
  <c r="I334" i="14"/>
  <c r="J334" i="14"/>
  <c r="K334" i="14"/>
  <c r="L334" i="14"/>
  <c r="M334" i="14"/>
  <c r="N334" i="14"/>
  <c r="O334" i="14"/>
  <c r="Q334" i="14"/>
  <c r="R334" i="14"/>
  <c r="S334" i="14"/>
  <c r="T334" i="14"/>
  <c r="U334" i="14"/>
  <c r="V334" i="14"/>
  <c r="W334" i="14"/>
  <c r="X334" i="14"/>
  <c r="Y334" i="14"/>
  <c r="Z334" i="14"/>
  <c r="AA334" i="14"/>
  <c r="AB334" i="14"/>
  <c r="E333" i="14"/>
  <c r="F333" i="14"/>
  <c r="G333" i="14"/>
  <c r="H333" i="14"/>
  <c r="I333" i="14"/>
  <c r="J333" i="14"/>
  <c r="K333" i="14"/>
  <c r="L333" i="14"/>
  <c r="M333" i="14"/>
  <c r="N333" i="14"/>
  <c r="O333" i="14"/>
  <c r="P333" i="14"/>
  <c r="Q333" i="14"/>
  <c r="R333" i="14"/>
  <c r="S333" i="14"/>
  <c r="T333" i="14"/>
  <c r="U333" i="14"/>
  <c r="V333" i="14"/>
  <c r="W333" i="14"/>
  <c r="X333" i="14"/>
  <c r="Y333" i="14"/>
  <c r="Z333" i="14"/>
  <c r="AA333" i="14"/>
  <c r="AB333" i="14"/>
  <c r="AC333" i="14"/>
  <c r="AD333" i="14"/>
  <c r="AE333" i="14"/>
  <c r="AF333" i="14"/>
  <c r="AG333" i="14"/>
  <c r="AH333" i="14"/>
  <c r="AI333" i="14"/>
  <c r="AJ333" i="14"/>
  <c r="AK333" i="14"/>
  <c r="AL333" i="14"/>
  <c r="AM333" i="14"/>
  <c r="AN333" i="14"/>
  <c r="AO333" i="14"/>
  <c r="AP333" i="14"/>
  <c r="AQ333" i="14"/>
  <c r="E332" i="14"/>
  <c r="F332" i="14"/>
  <c r="G332" i="14"/>
  <c r="H332" i="14"/>
  <c r="I332" i="14"/>
  <c r="J332" i="14"/>
  <c r="K332" i="14"/>
  <c r="L332" i="14"/>
  <c r="M332" i="14"/>
  <c r="N332" i="14"/>
  <c r="O332" i="14"/>
  <c r="P332" i="14"/>
  <c r="Q332" i="14"/>
  <c r="R332" i="14"/>
  <c r="S332" i="14"/>
  <c r="T332" i="14"/>
  <c r="U332" i="14"/>
  <c r="V332" i="14"/>
  <c r="W332" i="14"/>
  <c r="X332" i="14"/>
  <c r="Y332" i="14"/>
  <c r="Z332" i="14"/>
  <c r="AA332" i="14"/>
  <c r="AB332" i="14"/>
  <c r="AC332" i="14"/>
  <c r="AD332" i="14"/>
  <c r="AE332" i="14"/>
  <c r="AF332" i="14"/>
  <c r="AG332" i="14"/>
  <c r="AH332" i="14"/>
  <c r="AI332" i="14"/>
  <c r="AJ332" i="14"/>
  <c r="AK332" i="14"/>
  <c r="AL332" i="14"/>
  <c r="AM332" i="14"/>
  <c r="AN332" i="14"/>
  <c r="AO332" i="14"/>
  <c r="AP332" i="14"/>
  <c r="AQ332" i="14"/>
  <c r="E331" i="14"/>
  <c r="F331" i="14"/>
  <c r="G331" i="14"/>
  <c r="H331" i="14"/>
  <c r="I331" i="14"/>
  <c r="J331" i="14"/>
  <c r="K331" i="14"/>
  <c r="L331" i="14"/>
  <c r="M331" i="14"/>
  <c r="N331" i="14"/>
  <c r="O331" i="14"/>
  <c r="P331" i="14"/>
  <c r="Q331" i="14"/>
  <c r="R331" i="14"/>
  <c r="S331" i="14"/>
  <c r="T331" i="14"/>
  <c r="U331" i="14"/>
  <c r="V331" i="14"/>
  <c r="W331" i="14"/>
  <c r="X331" i="14"/>
  <c r="Y331" i="14"/>
  <c r="Z331" i="14"/>
  <c r="AA331" i="14"/>
  <c r="AB331" i="14"/>
  <c r="AR331" i="14"/>
  <c r="E142" i="14"/>
  <c r="F142" i="14"/>
  <c r="G142" i="14"/>
  <c r="H142" i="14"/>
  <c r="I142" i="14"/>
  <c r="J142" i="14"/>
  <c r="K142" i="14"/>
  <c r="L142" i="14"/>
  <c r="M142" i="14"/>
  <c r="N142" i="14"/>
  <c r="O142" i="14"/>
  <c r="P142" i="14"/>
  <c r="Q142" i="14"/>
  <c r="R142" i="14"/>
  <c r="S142" i="14"/>
  <c r="T142" i="14"/>
  <c r="U142" i="14"/>
  <c r="V142" i="14"/>
  <c r="W142" i="14"/>
  <c r="X142" i="14"/>
  <c r="Y142" i="14"/>
  <c r="Z142" i="14"/>
  <c r="AA142" i="14"/>
  <c r="AB142" i="14"/>
  <c r="AC142" i="14"/>
  <c r="AC331" i="14" s="1"/>
  <c r="AD142" i="14"/>
  <c r="AD331" i="14" s="1"/>
  <c r="AE142" i="14"/>
  <c r="AE331" i="14" s="1"/>
  <c r="AF142" i="14"/>
  <c r="AF331" i="14" s="1"/>
  <c r="AG142" i="14"/>
  <c r="AG331" i="14" s="1"/>
  <c r="AH142" i="14"/>
  <c r="AH331" i="14" s="1"/>
  <c r="AI142" i="14"/>
  <c r="AI331" i="14" s="1"/>
  <c r="AJ142" i="14"/>
  <c r="AJ331" i="14" s="1"/>
  <c r="AK142" i="14"/>
  <c r="AK331" i="14" s="1"/>
  <c r="AL142" i="14"/>
  <c r="AL331" i="14" s="1"/>
  <c r="AM142" i="14"/>
  <c r="AM331" i="14" s="1"/>
  <c r="AN142" i="14"/>
  <c r="AN331" i="14" s="1"/>
  <c r="AO142" i="14"/>
  <c r="AO331" i="14" s="1"/>
  <c r="AP142" i="14"/>
  <c r="AP331" i="14" s="1"/>
  <c r="AQ142" i="14"/>
  <c r="AQ331" i="14" s="1"/>
  <c r="AR142" i="14"/>
  <c r="E141" i="14"/>
  <c r="F141" i="14"/>
  <c r="G141" i="14"/>
  <c r="H141" i="14"/>
  <c r="I141" i="14"/>
  <c r="J141" i="14"/>
  <c r="K141" i="14"/>
  <c r="L141" i="14"/>
  <c r="M141" i="14"/>
  <c r="N141" i="14"/>
  <c r="O141" i="14"/>
  <c r="P141" i="14"/>
  <c r="Q141" i="14"/>
  <c r="R141" i="14"/>
  <c r="S141" i="14"/>
  <c r="T141" i="14"/>
  <c r="U141" i="14"/>
  <c r="V141" i="14"/>
  <c r="W141" i="14"/>
  <c r="X141" i="14"/>
  <c r="Y141" i="14"/>
  <c r="Z141" i="14"/>
  <c r="AA141" i="14"/>
  <c r="AB141" i="14"/>
  <c r="AC141" i="14"/>
  <c r="AD141" i="14"/>
  <c r="AE141" i="14"/>
  <c r="AF141" i="14"/>
  <c r="AG141" i="14"/>
  <c r="AH141" i="14"/>
  <c r="AI141" i="14"/>
  <c r="AJ141" i="14"/>
  <c r="AK141" i="14"/>
  <c r="AL141" i="14"/>
  <c r="AM141" i="14"/>
  <c r="AN141" i="14"/>
  <c r="AO141" i="14"/>
  <c r="AP141" i="14"/>
  <c r="AQ141" i="14"/>
  <c r="AR141" i="14"/>
  <c r="E144" i="14" l="1"/>
  <c r="E232" i="14"/>
  <c r="U338" i="14"/>
  <c r="Y338" i="14"/>
  <c r="E338" i="14"/>
  <c r="I338" i="14"/>
  <c r="M338" i="14"/>
  <c r="Q338" i="14"/>
  <c r="R338" i="14"/>
  <c r="V338" i="14"/>
  <c r="Z338" i="14"/>
  <c r="E330" i="14"/>
  <c r="F330" i="14"/>
  <c r="F338" i="14" s="1"/>
  <c r="G330" i="14"/>
  <c r="G338" i="14" s="1"/>
  <c r="H330" i="14"/>
  <c r="I330" i="14"/>
  <c r="J330" i="14"/>
  <c r="J338" i="14" s="1"/>
  <c r="K330" i="14"/>
  <c r="K338" i="14" s="1"/>
  <c r="L330" i="14"/>
  <c r="L338" i="14" s="1"/>
  <c r="M330" i="14"/>
  <c r="N330" i="14"/>
  <c r="N338" i="14" s="1"/>
  <c r="O330" i="14"/>
  <c r="O338" i="14" s="1"/>
  <c r="P330" i="14"/>
  <c r="P338" i="14" s="1"/>
  <c r="Q330" i="14"/>
  <c r="R330" i="14"/>
  <c r="S330" i="14"/>
  <c r="S338" i="14" s="1"/>
  <c r="T330" i="14"/>
  <c r="T338" i="14" s="1"/>
  <c r="U330" i="14"/>
  <c r="V330" i="14"/>
  <c r="W330" i="14"/>
  <c r="W338" i="14" s="1"/>
  <c r="X330" i="14"/>
  <c r="Y330" i="14"/>
  <c r="Z330" i="14"/>
  <c r="AA330" i="14"/>
  <c r="AA338" i="14" s="1"/>
  <c r="AB330" i="14"/>
  <c r="AB338" i="14" s="1"/>
  <c r="AC330" i="14"/>
  <c r="AD330" i="14"/>
  <c r="AE330" i="14"/>
  <c r="AF330" i="14"/>
  <c r="AG330" i="14"/>
  <c r="AH330" i="14"/>
  <c r="AI330" i="14"/>
  <c r="AJ330" i="14"/>
  <c r="AK330" i="14"/>
  <c r="AL330" i="14"/>
  <c r="AM330" i="14"/>
  <c r="AN330" i="14"/>
  <c r="AO330" i="14"/>
  <c r="E295" i="14"/>
  <c r="F295" i="14"/>
  <c r="G295" i="14"/>
  <c r="H295" i="14"/>
  <c r="I295" i="14"/>
  <c r="J295" i="14"/>
  <c r="K295" i="14"/>
  <c r="L295" i="14"/>
  <c r="M295" i="14"/>
  <c r="N295" i="14"/>
  <c r="O295" i="14"/>
  <c r="P295" i="14"/>
  <c r="Q295" i="14"/>
  <c r="R295" i="14"/>
  <c r="S295" i="14"/>
  <c r="T295" i="14"/>
  <c r="U295" i="14"/>
  <c r="E325" i="14"/>
  <c r="F325" i="14"/>
  <c r="G325" i="14"/>
  <c r="H325" i="14"/>
  <c r="I325" i="14"/>
  <c r="J325" i="14"/>
  <c r="K325" i="14"/>
  <c r="L325" i="14"/>
  <c r="M325" i="14"/>
  <c r="N325" i="14"/>
  <c r="O325" i="14"/>
  <c r="P325" i="14"/>
  <c r="Q325" i="14"/>
  <c r="R325" i="14"/>
  <c r="S325" i="14"/>
  <c r="T325" i="14"/>
  <c r="U325" i="14"/>
  <c r="V325" i="14"/>
  <c r="W325" i="14"/>
  <c r="X325" i="14"/>
  <c r="Y325" i="14"/>
  <c r="Z325" i="14"/>
  <c r="AA325" i="14"/>
  <c r="AB325" i="14"/>
  <c r="AC325" i="14"/>
  <c r="AD325" i="14"/>
  <c r="AE325" i="14"/>
  <c r="AF325" i="14"/>
  <c r="AG325" i="14"/>
  <c r="AH325" i="14"/>
  <c r="AI325" i="14"/>
  <c r="AJ325" i="14"/>
  <c r="AK325" i="14"/>
  <c r="AL325" i="14"/>
  <c r="AM325" i="14"/>
  <c r="AN325" i="14"/>
  <c r="AO325" i="14"/>
  <c r="AP325" i="14"/>
  <c r="E323" i="14"/>
  <c r="F323" i="14"/>
  <c r="G323" i="14"/>
  <c r="H323" i="14"/>
  <c r="I323" i="14"/>
  <c r="J323" i="14"/>
  <c r="K323" i="14"/>
  <c r="L323" i="14"/>
  <c r="M323" i="14"/>
  <c r="N323" i="14"/>
  <c r="O323" i="14"/>
  <c r="P323" i="14"/>
  <c r="Q323" i="14"/>
  <c r="R323" i="14"/>
  <c r="S323" i="14"/>
  <c r="T323" i="14"/>
  <c r="U323" i="14"/>
  <c r="V323" i="14"/>
  <c r="W323" i="14"/>
  <c r="X323" i="14"/>
  <c r="Y323" i="14"/>
  <c r="Z323" i="14"/>
  <c r="AA323" i="14"/>
  <c r="AB323" i="14"/>
  <c r="AC323" i="14"/>
  <c r="AD323" i="14"/>
  <c r="AE323" i="14"/>
  <c r="AF323" i="14"/>
  <c r="AG323" i="14"/>
  <c r="AH323" i="14"/>
  <c r="AI323" i="14"/>
  <c r="AJ323" i="14"/>
  <c r="AK323" i="14"/>
  <c r="AL323" i="14"/>
  <c r="AM323" i="14"/>
  <c r="AN323" i="14"/>
  <c r="AO323" i="14"/>
  <c r="AP323" i="14"/>
  <c r="E322" i="14"/>
  <c r="F322" i="14"/>
  <c r="G322" i="14"/>
  <c r="H322" i="14"/>
  <c r="I322" i="14"/>
  <c r="J322" i="14"/>
  <c r="K322" i="14"/>
  <c r="L322" i="14"/>
  <c r="M322" i="14"/>
  <c r="N322" i="14"/>
  <c r="O322" i="14"/>
  <c r="P322" i="14"/>
  <c r="Q322" i="14"/>
  <c r="R322" i="14"/>
  <c r="S322" i="14"/>
  <c r="T322" i="14"/>
  <c r="U322" i="14"/>
  <c r="V322" i="14"/>
  <c r="W322" i="14"/>
  <c r="X322" i="14"/>
  <c r="Y322" i="14"/>
  <c r="Z322" i="14"/>
  <c r="AA322" i="14"/>
  <c r="AB322" i="14"/>
  <c r="AC322" i="14"/>
  <c r="AD322" i="14"/>
  <c r="AE322" i="14"/>
  <c r="AF322" i="14"/>
  <c r="AG322" i="14"/>
  <c r="AH322" i="14"/>
  <c r="AI322" i="14"/>
  <c r="AJ322" i="14"/>
  <c r="AK322" i="14"/>
  <c r="AL322" i="14"/>
  <c r="AM322" i="14"/>
  <c r="AN322" i="14"/>
  <c r="AO322" i="14"/>
  <c r="AP322" i="14"/>
  <c r="E274" i="14"/>
  <c r="F274" i="14"/>
  <c r="G274" i="14"/>
  <c r="H274" i="14"/>
  <c r="I274" i="14"/>
  <c r="J274" i="14"/>
  <c r="K274" i="14"/>
  <c r="L274" i="14"/>
  <c r="M274" i="14"/>
  <c r="N274" i="14"/>
  <c r="O274" i="14"/>
  <c r="P274" i="14"/>
  <c r="Q274" i="14"/>
  <c r="R274" i="14"/>
  <c r="S274" i="14"/>
  <c r="T274" i="14"/>
  <c r="U274" i="14"/>
  <c r="V274" i="14"/>
  <c r="W274" i="14"/>
  <c r="X274" i="14"/>
  <c r="Y274" i="14"/>
  <c r="Z274" i="14"/>
  <c r="AA274" i="14"/>
  <c r="AB274" i="14"/>
  <c r="AC274" i="14"/>
  <c r="AD274" i="14"/>
  <c r="AE274" i="14"/>
  <c r="AF274" i="14"/>
  <c r="AG274" i="14"/>
  <c r="AH274" i="14"/>
  <c r="AI274" i="14"/>
  <c r="AJ274" i="14"/>
  <c r="AK274" i="14"/>
  <c r="AL274" i="14"/>
  <c r="AM274" i="14"/>
  <c r="AN274" i="14"/>
  <c r="AO274" i="14"/>
  <c r="AP274" i="14"/>
  <c r="E272" i="14"/>
  <c r="F272" i="14"/>
  <c r="G272" i="14"/>
  <c r="H272" i="14"/>
  <c r="R272" i="14"/>
  <c r="S272" i="14"/>
  <c r="T272" i="14"/>
  <c r="U272" i="14"/>
  <c r="V272" i="14"/>
  <c r="W272" i="14"/>
  <c r="X272" i="14"/>
  <c r="Y272" i="14"/>
  <c r="Z272" i="14"/>
  <c r="AA272" i="14"/>
  <c r="AB272" i="14"/>
  <c r="AC272" i="14"/>
  <c r="AD272" i="14"/>
  <c r="AE272" i="14"/>
  <c r="AF272" i="14"/>
  <c r="AG272" i="14"/>
  <c r="AH272" i="14"/>
  <c r="AI272" i="14"/>
  <c r="AJ272" i="14"/>
  <c r="AK272" i="14"/>
  <c r="AL272" i="14"/>
  <c r="AM272" i="14"/>
  <c r="AN272" i="14"/>
  <c r="AO272" i="14"/>
  <c r="AQ272" i="14"/>
  <c r="AR272" i="14"/>
  <c r="AS272" i="14"/>
  <c r="AT272" i="14"/>
  <c r="AU272" i="14"/>
  <c r="AV272" i="14"/>
  <c r="AW272" i="14"/>
  <c r="E271" i="14"/>
  <c r="F271" i="14"/>
  <c r="G271" i="14"/>
  <c r="H271" i="14"/>
  <c r="R271" i="14"/>
  <c r="S271" i="14"/>
  <c r="T271" i="14"/>
  <c r="U271" i="14"/>
  <c r="V271" i="14"/>
  <c r="W271" i="14"/>
  <c r="X271" i="14"/>
  <c r="Y271" i="14"/>
  <c r="Z271" i="14"/>
  <c r="AA271" i="14"/>
  <c r="AB271" i="14"/>
  <c r="AC271" i="14"/>
  <c r="AD271" i="14"/>
  <c r="AE271" i="14"/>
  <c r="AF271" i="14"/>
  <c r="AG271" i="14"/>
  <c r="AH271" i="14"/>
  <c r="AI271" i="14"/>
  <c r="AJ271" i="14"/>
  <c r="AK271" i="14"/>
  <c r="AL271" i="14"/>
  <c r="AM271" i="14"/>
  <c r="AN271" i="14"/>
  <c r="AO271" i="14"/>
  <c r="AP271" i="14"/>
  <c r="AQ271" i="14"/>
  <c r="AR271" i="14"/>
  <c r="AS271" i="14"/>
  <c r="AT271" i="14"/>
  <c r="AU271" i="14"/>
  <c r="AV271" i="14"/>
  <c r="AW271" i="14"/>
  <c r="E270" i="14"/>
  <c r="F270" i="14"/>
  <c r="G270" i="14"/>
  <c r="H270" i="14"/>
  <c r="K270" i="14"/>
  <c r="L270" i="14"/>
  <c r="M270" i="14"/>
  <c r="N270" i="14"/>
  <c r="O270" i="14"/>
  <c r="P270" i="14"/>
  <c r="Q270" i="14"/>
  <c r="R270" i="14"/>
  <c r="S270" i="14"/>
  <c r="T270" i="14"/>
  <c r="U270" i="14"/>
  <c r="V270" i="14"/>
  <c r="W270" i="14"/>
  <c r="X270" i="14"/>
  <c r="Y270" i="14"/>
  <c r="Z270" i="14"/>
  <c r="AA270" i="14"/>
  <c r="AB270" i="14"/>
  <c r="AC270" i="14"/>
  <c r="AD270" i="14"/>
  <c r="AE270" i="14"/>
  <c r="AF270" i="14"/>
  <c r="AG270" i="14"/>
  <c r="AH270" i="14"/>
  <c r="AI270" i="14"/>
  <c r="AJ270" i="14"/>
  <c r="AK270" i="14"/>
  <c r="AL270" i="14"/>
  <c r="AM270" i="14"/>
  <c r="AN270" i="14"/>
  <c r="AO270" i="14"/>
  <c r="E261" i="14"/>
  <c r="F261" i="14"/>
  <c r="G261" i="14"/>
  <c r="H261" i="14"/>
  <c r="I261" i="14"/>
  <c r="J261" i="14"/>
  <c r="K261" i="14"/>
  <c r="L261" i="14"/>
  <c r="M261" i="14"/>
  <c r="N261" i="14"/>
  <c r="O261" i="14"/>
  <c r="P261" i="14"/>
  <c r="Q261" i="14"/>
  <c r="R261" i="14"/>
  <c r="S261" i="14"/>
  <c r="T261" i="14"/>
  <c r="U261" i="14"/>
  <c r="V261" i="14"/>
  <c r="W261" i="14"/>
  <c r="X261" i="14"/>
  <c r="Y261" i="14"/>
  <c r="Z261" i="14"/>
  <c r="AA261" i="14"/>
  <c r="AB261" i="14"/>
  <c r="AC261" i="14"/>
  <c r="AD261" i="14"/>
  <c r="AE261" i="14"/>
  <c r="AF261" i="14"/>
  <c r="AG261" i="14"/>
  <c r="AH261" i="14"/>
  <c r="AI261" i="14"/>
  <c r="AJ261" i="14"/>
  <c r="AK261" i="14"/>
  <c r="AL261" i="14"/>
  <c r="AM261" i="14"/>
  <c r="AN261" i="14"/>
  <c r="AO261" i="14"/>
  <c r="AP261" i="14"/>
  <c r="AQ261" i="14"/>
  <c r="E259" i="14"/>
  <c r="F259" i="14"/>
  <c r="G259" i="14"/>
  <c r="H259" i="14"/>
  <c r="I259" i="14"/>
  <c r="J259" i="14"/>
  <c r="K259" i="14"/>
  <c r="L259" i="14"/>
  <c r="M259" i="14"/>
  <c r="N259" i="14"/>
  <c r="O259" i="14"/>
  <c r="P259" i="14"/>
  <c r="Q259" i="14"/>
  <c r="R259" i="14"/>
  <c r="S259" i="14"/>
  <c r="T259" i="14"/>
  <c r="U259" i="14"/>
  <c r="V259" i="14"/>
  <c r="W259" i="14"/>
  <c r="X259" i="14"/>
  <c r="Y259" i="14"/>
  <c r="Z259" i="14"/>
  <c r="AA259" i="14"/>
  <c r="AB259" i="14"/>
  <c r="AC259" i="14"/>
  <c r="AD259" i="14"/>
  <c r="AE259" i="14"/>
  <c r="AF259" i="14"/>
  <c r="AG259" i="14"/>
  <c r="AH259" i="14"/>
  <c r="AI259" i="14"/>
  <c r="AJ259" i="14"/>
  <c r="AK259" i="14"/>
  <c r="AL259" i="14"/>
  <c r="AM259" i="14"/>
  <c r="AN259" i="14"/>
  <c r="AO259" i="14"/>
  <c r="AP259" i="14"/>
  <c r="AQ259" i="14"/>
  <c r="E258" i="14"/>
  <c r="F258" i="14"/>
  <c r="G258" i="14"/>
  <c r="H258" i="14"/>
  <c r="Q258" i="14"/>
  <c r="R258" i="14"/>
  <c r="S258" i="14"/>
  <c r="T258" i="14"/>
  <c r="U258" i="14"/>
  <c r="V258" i="14"/>
  <c r="W258" i="14"/>
  <c r="X258" i="14"/>
  <c r="Y258" i="14"/>
  <c r="Z258" i="14"/>
  <c r="AA258" i="14"/>
  <c r="AB258" i="14"/>
  <c r="AC258" i="14"/>
  <c r="AD258" i="14"/>
  <c r="AE258" i="14"/>
  <c r="AF258" i="14"/>
  <c r="AG258" i="14"/>
  <c r="AH258" i="14"/>
  <c r="AI258" i="14"/>
  <c r="AJ258" i="14"/>
  <c r="AK258" i="14"/>
  <c r="AL258" i="14"/>
  <c r="AM258" i="14"/>
  <c r="AN258" i="14"/>
  <c r="AO258" i="14"/>
  <c r="AP258" i="14"/>
  <c r="E257" i="14"/>
  <c r="F257" i="14"/>
  <c r="G257" i="14"/>
  <c r="H257" i="14"/>
  <c r="I257" i="14"/>
  <c r="J257" i="14"/>
  <c r="K257" i="14"/>
  <c r="L257" i="14"/>
  <c r="M257" i="14"/>
  <c r="N257" i="14"/>
  <c r="O257" i="14"/>
  <c r="P257" i="14"/>
  <c r="Q257" i="14"/>
  <c r="R257" i="14"/>
  <c r="S257" i="14"/>
  <c r="T257" i="14"/>
  <c r="U257" i="14"/>
  <c r="V257" i="14"/>
  <c r="W257" i="14"/>
  <c r="X257" i="14"/>
  <c r="Y257" i="14"/>
  <c r="Z257" i="14"/>
  <c r="AA257" i="14"/>
  <c r="AB257" i="14"/>
  <c r="AC257" i="14"/>
  <c r="AD257" i="14"/>
  <c r="AE257" i="14"/>
  <c r="AF257" i="14"/>
  <c r="AG257" i="14"/>
  <c r="AH257" i="14"/>
  <c r="AI257" i="14"/>
  <c r="AJ257" i="14"/>
  <c r="AK257" i="14"/>
  <c r="AL257" i="14"/>
  <c r="AM257" i="14"/>
  <c r="AN257" i="14"/>
  <c r="E256" i="14"/>
  <c r="F256" i="14"/>
  <c r="G256" i="14"/>
  <c r="H256" i="14"/>
  <c r="I256" i="14"/>
  <c r="J256" i="14"/>
  <c r="K256" i="14"/>
  <c r="L256" i="14"/>
  <c r="M256" i="14"/>
  <c r="N256" i="14"/>
  <c r="O256" i="14"/>
  <c r="P256" i="14"/>
  <c r="Q256" i="14"/>
  <c r="R256" i="14"/>
  <c r="S256" i="14"/>
  <c r="T256" i="14"/>
  <c r="U256" i="14"/>
  <c r="V256" i="14"/>
  <c r="W256" i="14"/>
  <c r="X256" i="14"/>
  <c r="Y256" i="14"/>
  <c r="Z256" i="14"/>
  <c r="AA256" i="14"/>
  <c r="AB256" i="14"/>
  <c r="AC256" i="14"/>
  <c r="AD256" i="14"/>
  <c r="AE256" i="14"/>
  <c r="AF256" i="14"/>
  <c r="AG256" i="14"/>
  <c r="AH256" i="14"/>
  <c r="AI256" i="14"/>
  <c r="AJ256" i="14"/>
  <c r="AK256" i="14"/>
  <c r="AL256" i="14"/>
  <c r="AM256" i="14"/>
  <c r="AN256" i="14"/>
  <c r="E236" i="14"/>
  <c r="F236" i="14"/>
  <c r="G236" i="14"/>
  <c r="H236" i="14"/>
  <c r="I236" i="14"/>
  <c r="J236" i="14"/>
  <c r="K236" i="14"/>
  <c r="L236" i="14"/>
  <c r="M236" i="14"/>
  <c r="N236" i="14"/>
  <c r="O236" i="14"/>
  <c r="P236" i="14"/>
  <c r="Q236" i="14"/>
  <c r="R236" i="14"/>
  <c r="S236" i="14"/>
  <c r="T236" i="14"/>
  <c r="U236" i="14"/>
  <c r="V236" i="14"/>
  <c r="W236" i="14"/>
  <c r="X236" i="14"/>
  <c r="Y236" i="14"/>
  <c r="Z236" i="14"/>
  <c r="AA236" i="14"/>
  <c r="AB236" i="14"/>
  <c r="AC236" i="14"/>
  <c r="AD236" i="14"/>
  <c r="AE236" i="14"/>
  <c r="AF236" i="14"/>
  <c r="AG236" i="14"/>
  <c r="AH236" i="14"/>
  <c r="AI236" i="14"/>
  <c r="AJ236" i="14"/>
  <c r="AK236" i="14"/>
  <c r="AL236" i="14"/>
  <c r="AM236" i="14"/>
  <c r="AN236" i="14"/>
  <c r="AO236" i="14"/>
  <c r="AP236" i="14"/>
  <c r="E234" i="14"/>
  <c r="F234" i="14"/>
  <c r="G234" i="14"/>
  <c r="H234" i="14"/>
  <c r="I234" i="14"/>
  <c r="J234" i="14"/>
  <c r="K234" i="14"/>
  <c r="L234" i="14"/>
  <c r="M234" i="14"/>
  <c r="N234" i="14"/>
  <c r="O234" i="14"/>
  <c r="P234" i="14"/>
  <c r="Q234" i="14"/>
  <c r="R234" i="14"/>
  <c r="S234" i="14"/>
  <c r="T234" i="14"/>
  <c r="U234" i="14"/>
  <c r="V234" i="14"/>
  <c r="W234" i="14"/>
  <c r="X234" i="14"/>
  <c r="Y234" i="14"/>
  <c r="Z234" i="14"/>
  <c r="AA234" i="14"/>
  <c r="AB234" i="14"/>
  <c r="AC234" i="14"/>
  <c r="AD234" i="14"/>
  <c r="AE234" i="14"/>
  <c r="AF234" i="14"/>
  <c r="AG234" i="14"/>
  <c r="AH234" i="14"/>
  <c r="AI234" i="14"/>
  <c r="AJ234" i="14"/>
  <c r="AK234" i="14"/>
  <c r="AL234" i="14"/>
  <c r="AM234" i="14"/>
  <c r="AN234" i="14"/>
  <c r="AO234" i="14"/>
  <c r="AP234" i="14"/>
  <c r="E233" i="14"/>
  <c r="F233" i="14"/>
  <c r="G233" i="14"/>
  <c r="H233" i="14"/>
  <c r="I233" i="14"/>
  <c r="J233" i="14"/>
  <c r="K233" i="14"/>
  <c r="L233" i="14"/>
  <c r="M233" i="14"/>
  <c r="N233" i="14"/>
  <c r="O233" i="14"/>
  <c r="P233" i="14"/>
  <c r="Q233" i="14"/>
  <c r="R233" i="14"/>
  <c r="S233" i="14"/>
  <c r="T233" i="14"/>
  <c r="U233" i="14"/>
  <c r="V233" i="14"/>
  <c r="W233" i="14"/>
  <c r="X233" i="14"/>
  <c r="Y233" i="14"/>
  <c r="Z233" i="14"/>
  <c r="AA233" i="14"/>
  <c r="AB233" i="14"/>
  <c r="AC233" i="14"/>
  <c r="AD233" i="14"/>
  <c r="AE233" i="14"/>
  <c r="AF233" i="14"/>
  <c r="AG233" i="14"/>
  <c r="AH233" i="14"/>
  <c r="AI233" i="14"/>
  <c r="AJ233" i="14"/>
  <c r="AK233" i="14"/>
  <c r="AL233" i="14"/>
  <c r="AM233" i="14"/>
  <c r="AN233" i="14"/>
  <c r="AO233" i="14"/>
  <c r="AP233" i="14"/>
  <c r="F232" i="14"/>
  <c r="G232" i="14"/>
  <c r="H232" i="14"/>
  <c r="I232" i="14"/>
  <c r="J232" i="14"/>
  <c r="K232" i="14"/>
  <c r="L232" i="14"/>
  <c r="M232" i="14"/>
  <c r="N232" i="14"/>
  <c r="O232" i="14"/>
  <c r="P232" i="14"/>
  <c r="Q232" i="14"/>
  <c r="R232" i="14"/>
  <c r="S232" i="14"/>
  <c r="T232" i="14"/>
  <c r="U232" i="14"/>
  <c r="V232" i="14"/>
  <c r="W232" i="14"/>
  <c r="X232" i="14"/>
  <c r="Y232" i="14"/>
  <c r="Z232" i="14"/>
  <c r="AA232" i="14"/>
  <c r="AB232" i="14"/>
  <c r="AC232" i="14"/>
  <c r="AD232" i="14"/>
  <c r="AE232" i="14"/>
  <c r="AF232" i="14"/>
  <c r="AG232" i="14"/>
  <c r="AH232" i="14"/>
  <c r="AI232" i="14"/>
  <c r="AJ232" i="14"/>
  <c r="AK232" i="14"/>
  <c r="AL232" i="14"/>
  <c r="AN232" i="14"/>
  <c r="AO232" i="14"/>
  <c r="AP232" i="14"/>
  <c r="E231" i="14"/>
  <c r="F231" i="14"/>
  <c r="G231" i="14"/>
  <c r="H231" i="14"/>
  <c r="I231" i="14"/>
  <c r="J231" i="14"/>
  <c r="K231" i="14"/>
  <c r="L231" i="14"/>
  <c r="M231" i="14"/>
  <c r="N231" i="14"/>
  <c r="O231" i="14"/>
  <c r="P231" i="14"/>
  <c r="Q231" i="14"/>
  <c r="R231" i="14"/>
  <c r="S231" i="14"/>
  <c r="T231" i="14"/>
  <c r="U231" i="14"/>
  <c r="V231" i="14"/>
  <c r="W231" i="14"/>
  <c r="X231" i="14"/>
  <c r="Y231" i="14"/>
  <c r="Z231" i="14"/>
  <c r="AA231" i="14"/>
  <c r="AB231" i="14"/>
  <c r="AC231" i="14"/>
  <c r="AD231" i="14"/>
  <c r="AE231" i="14"/>
  <c r="AF231" i="14"/>
  <c r="AG231" i="14"/>
  <c r="AH231" i="14"/>
  <c r="AI231" i="14"/>
  <c r="AJ231" i="14"/>
  <c r="AK231" i="14"/>
  <c r="AL231" i="14"/>
  <c r="AM231" i="14"/>
  <c r="AN231" i="14"/>
  <c r="AO231" i="14"/>
  <c r="AP231" i="14"/>
  <c r="E230" i="14"/>
  <c r="F230" i="14"/>
  <c r="G230" i="14"/>
  <c r="H230" i="14"/>
  <c r="I230" i="14"/>
  <c r="J230" i="14"/>
  <c r="K230" i="14"/>
  <c r="L230" i="14"/>
  <c r="M230" i="14"/>
  <c r="N230" i="14"/>
  <c r="O230" i="14"/>
  <c r="P230" i="14"/>
  <c r="Q230" i="14"/>
  <c r="R230" i="14"/>
  <c r="S230" i="14"/>
  <c r="T230" i="14"/>
  <c r="U230" i="14"/>
  <c r="V230" i="14"/>
  <c r="W230" i="14"/>
  <c r="X230" i="14"/>
  <c r="Y230" i="14"/>
  <c r="Z230" i="14"/>
  <c r="AA230" i="14"/>
  <c r="AB230" i="14"/>
  <c r="AC230" i="14"/>
  <c r="AD230" i="14"/>
  <c r="AE230" i="14"/>
  <c r="AF230" i="14"/>
  <c r="AG230" i="14"/>
  <c r="AH230" i="14"/>
  <c r="AI230" i="14"/>
  <c r="AJ230" i="14"/>
  <c r="AK230" i="14"/>
  <c r="AL230" i="14"/>
  <c r="AM230" i="14"/>
  <c r="AN230" i="14"/>
  <c r="AO230" i="14"/>
  <c r="AP230" i="14"/>
  <c r="E192" i="14"/>
  <c r="F192" i="14"/>
  <c r="G192" i="14"/>
  <c r="H192" i="14"/>
  <c r="I192" i="14"/>
  <c r="J192" i="14"/>
  <c r="K192" i="14"/>
  <c r="L192" i="14"/>
  <c r="M192" i="14"/>
  <c r="N192" i="14"/>
  <c r="O192" i="14"/>
  <c r="P192" i="14"/>
  <c r="Q192" i="14"/>
  <c r="R192" i="14"/>
  <c r="S192" i="14"/>
  <c r="T192" i="14"/>
  <c r="U192" i="14"/>
  <c r="V192" i="14"/>
  <c r="W192" i="14"/>
  <c r="X192" i="14"/>
  <c r="Y192" i="14"/>
  <c r="Z192" i="14"/>
  <c r="AA192" i="14"/>
  <c r="AB192" i="14"/>
  <c r="AC192" i="14"/>
  <c r="AD192" i="14"/>
  <c r="AE192" i="14"/>
  <c r="AF192" i="14"/>
  <c r="AG192" i="14"/>
  <c r="AH192" i="14"/>
  <c r="AI192" i="14"/>
  <c r="AJ192" i="14"/>
  <c r="AK192" i="14"/>
  <c r="AL192" i="14"/>
  <c r="AM192" i="14"/>
  <c r="AN192" i="14"/>
  <c r="AO192" i="14"/>
  <c r="AP192" i="14"/>
  <c r="AQ192" i="14"/>
  <c r="AR192" i="14"/>
  <c r="AS192" i="14"/>
  <c r="AT192" i="14"/>
  <c r="E190" i="14"/>
  <c r="F190" i="14"/>
  <c r="G190" i="14"/>
  <c r="H190" i="14"/>
  <c r="I190" i="14"/>
  <c r="J190" i="14"/>
  <c r="K190" i="14"/>
  <c r="L190" i="14"/>
  <c r="M190" i="14"/>
  <c r="N190" i="14"/>
  <c r="O190" i="14"/>
  <c r="P190" i="14"/>
  <c r="Q190" i="14"/>
  <c r="R190" i="14"/>
  <c r="S190" i="14"/>
  <c r="T190" i="14"/>
  <c r="U190" i="14"/>
  <c r="V190" i="14"/>
  <c r="W190" i="14"/>
  <c r="X190" i="14"/>
  <c r="Y190" i="14"/>
  <c r="Z190" i="14"/>
  <c r="AA190" i="14"/>
  <c r="AB190" i="14"/>
  <c r="AC190" i="14"/>
  <c r="AD190" i="14"/>
  <c r="AE190" i="14"/>
  <c r="AF190" i="14"/>
  <c r="AG190" i="14"/>
  <c r="AH190" i="14"/>
  <c r="AI190" i="14"/>
  <c r="AJ190" i="14"/>
  <c r="AK190" i="14"/>
  <c r="AL190" i="14"/>
  <c r="AM190" i="14"/>
  <c r="AN190" i="14"/>
  <c r="AO190" i="14"/>
  <c r="E189" i="14"/>
  <c r="F189" i="14"/>
  <c r="G189" i="14"/>
  <c r="H189" i="14"/>
  <c r="I189" i="14"/>
  <c r="J189" i="14"/>
  <c r="K189" i="14"/>
  <c r="L189" i="14"/>
  <c r="M189" i="14"/>
  <c r="N189" i="14"/>
  <c r="O189" i="14"/>
  <c r="P189" i="14"/>
  <c r="Q189" i="14"/>
  <c r="R189" i="14"/>
  <c r="S189" i="14"/>
  <c r="T189" i="14"/>
  <c r="U189" i="14"/>
  <c r="V189" i="14"/>
  <c r="W189" i="14"/>
  <c r="X189" i="14"/>
  <c r="Y189" i="14"/>
  <c r="Z189" i="14"/>
  <c r="AA189" i="14"/>
  <c r="AB189" i="14"/>
  <c r="AC189" i="14"/>
  <c r="AD189" i="14"/>
  <c r="AE189" i="14"/>
  <c r="AF189" i="14"/>
  <c r="AG189" i="14"/>
  <c r="AH189" i="14"/>
  <c r="AI189" i="14"/>
  <c r="AJ189" i="14"/>
  <c r="AK189" i="14"/>
  <c r="AL189" i="14"/>
  <c r="AN189" i="14"/>
  <c r="AO189" i="14"/>
  <c r="E188" i="14"/>
  <c r="F188" i="14"/>
  <c r="G188" i="14"/>
  <c r="H188" i="14"/>
  <c r="I188" i="14"/>
  <c r="J188" i="14"/>
  <c r="K188" i="14"/>
  <c r="L188" i="14"/>
  <c r="M188" i="14"/>
  <c r="N188" i="14"/>
  <c r="O188" i="14"/>
  <c r="P188" i="14"/>
  <c r="Q188" i="14"/>
  <c r="R188" i="14"/>
  <c r="S188" i="14"/>
  <c r="T188" i="14"/>
  <c r="U188" i="14"/>
  <c r="V188" i="14"/>
  <c r="W188" i="14"/>
  <c r="X188" i="14"/>
  <c r="Y188" i="14"/>
  <c r="Z188" i="14"/>
  <c r="AA188" i="14"/>
  <c r="AB188" i="14"/>
  <c r="AC188" i="14"/>
  <c r="AD188" i="14"/>
  <c r="AE188" i="14"/>
  <c r="AF188" i="14"/>
  <c r="AG188" i="14"/>
  <c r="AH188" i="14"/>
  <c r="AI188" i="14"/>
  <c r="AJ188" i="14"/>
  <c r="AK188" i="14"/>
  <c r="AL188" i="14"/>
  <c r="AM188" i="14"/>
  <c r="AN188" i="14"/>
  <c r="AO188" i="14"/>
  <c r="E187" i="14"/>
  <c r="F187" i="14"/>
  <c r="G187" i="14"/>
  <c r="H187" i="14"/>
  <c r="I187" i="14"/>
  <c r="J187" i="14"/>
  <c r="K187" i="14"/>
  <c r="L187" i="14"/>
  <c r="M187" i="14"/>
  <c r="N187" i="14"/>
  <c r="O187" i="14"/>
  <c r="P187" i="14"/>
  <c r="Q187" i="14"/>
  <c r="R187" i="14"/>
  <c r="S187" i="14"/>
  <c r="T187" i="14"/>
  <c r="U187" i="14"/>
  <c r="V187" i="14"/>
  <c r="W187" i="14"/>
  <c r="X187" i="14"/>
  <c r="Y187" i="14"/>
  <c r="Z187" i="14"/>
  <c r="AA187" i="14"/>
  <c r="AB187" i="14"/>
  <c r="AC187" i="14"/>
  <c r="AD187" i="14"/>
  <c r="AE187" i="14"/>
  <c r="AF187" i="14"/>
  <c r="AG187" i="14"/>
  <c r="AH187" i="14"/>
  <c r="AI187" i="14"/>
  <c r="AJ187" i="14"/>
  <c r="AK187" i="14"/>
  <c r="AL187" i="14"/>
  <c r="AM187" i="14"/>
  <c r="AN187" i="14"/>
  <c r="E186" i="14"/>
  <c r="F186" i="14"/>
  <c r="G186" i="14"/>
  <c r="H186" i="14"/>
  <c r="I186" i="14"/>
  <c r="J186" i="14"/>
  <c r="K186" i="14"/>
  <c r="L186" i="14"/>
  <c r="M186" i="14"/>
  <c r="N186" i="14"/>
  <c r="O186" i="14"/>
  <c r="P186" i="14"/>
  <c r="Q186" i="14"/>
  <c r="R186" i="14"/>
  <c r="S186" i="14"/>
  <c r="T186" i="14"/>
  <c r="U186" i="14"/>
  <c r="V186" i="14"/>
  <c r="W186" i="14"/>
  <c r="X186" i="14"/>
  <c r="Y186" i="14"/>
  <c r="Z186" i="14"/>
  <c r="AA186" i="14"/>
  <c r="AB186" i="14"/>
  <c r="AC186" i="14"/>
  <c r="AD186" i="14"/>
  <c r="AE186" i="14"/>
  <c r="AF186" i="14"/>
  <c r="AG186" i="14"/>
  <c r="AH186" i="14"/>
  <c r="AI186" i="14"/>
  <c r="AJ186" i="14"/>
  <c r="AK186" i="14"/>
  <c r="AL186" i="14"/>
  <c r="AM186" i="14"/>
  <c r="AN186" i="14"/>
  <c r="X338" i="14" l="1"/>
  <c r="H338" i="14"/>
  <c r="E147" i="14"/>
  <c r="F147" i="14"/>
  <c r="G147" i="14"/>
  <c r="H147" i="14"/>
  <c r="I147" i="14"/>
  <c r="J147" i="14"/>
  <c r="K147" i="14"/>
  <c r="L147" i="14"/>
  <c r="M147" i="14"/>
  <c r="N147" i="14"/>
  <c r="O147" i="14"/>
  <c r="P147" i="14"/>
  <c r="Q147" i="14"/>
  <c r="R147" i="14"/>
  <c r="S147" i="14"/>
  <c r="T147" i="14"/>
  <c r="U147" i="14"/>
  <c r="V147" i="14"/>
  <c r="W147" i="14"/>
  <c r="X147" i="14"/>
  <c r="Y147" i="14"/>
  <c r="Z147" i="14"/>
  <c r="AA147" i="14"/>
  <c r="AB147" i="14"/>
  <c r="AF147" i="14"/>
  <c r="AI147" i="14"/>
  <c r="AM147" i="14"/>
  <c r="E145" i="14"/>
  <c r="F145" i="14"/>
  <c r="G145" i="14"/>
  <c r="H145" i="14"/>
  <c r="I145" i="14"/>
  <c r="J145" i="14"/>
  <c r="K145" i="14"/>
  <c r="L145" i="14"/>
  <c r="M145" i="14"/>
  <c r="N145" i="14"/>
  <c r="O145" i="14"/>
  <c r="P145" i="14"/>
  <c r="Q145" i="14"/>
  <c r="R145" i="14"/>
  <c r="S145" i="14"/>
  <c r="T145" i="14"/>
  <c r="U145" i="14"/>
  <c r="V145" i="14"/>
  <c r="W145" i="14"/>
  <c r="X145" i="14"/>
  <c r="Y145" i="14"/>
  <c r="Z145" i="14"/>
  <c r="AA145" i="14"/>
  <c r="AB145" i="14"/>
  <c r="AC145" i="14"/>
  <c r="AD145" i="14"/>
  <c r="AE145" i="14"/>
  <c r="AF145" i="14"/>
  <c r="AG145" i="14"/>
  <c r="AH145" i="14"/>
  <c r="AI145" i="14"/>
  <c r="AJ145" i="14"/>
  <c r="AK145" i="14"/>
  <c r="AL145" i="14"/>
  <c r="AM145" i="14"/>
  <c r="F144" i="14"/>
  <c r="G144" i="14"/>
  <c r="H144" i="14"/>
  <c r="I144" i="14"/>
  <c r="J144" i="14"/>
  <c r="K144" i="14"/>
  <c r="L144" i="14"/>
  <c r="M144" i="14"/>
  <c r="N144" i="14"/>
  <c r="O144" i="14"/>
  <c r="P144" i="14"/>
  <c r="Q144" i="14"/>
  <c r="R144" i="14"/>
  <c r="S144" i="14"/>
  <c r="T144" i="14"/>
  <c r="U144" i="14"/>
  <c r="V144" i="14"/>
  <c r="W144" i="14"/>
  <c r="X144" i="14"/>
  <c r="Y144" i="14"/>
  <c r="Z144" i="14"/>
  <c r="AA144" i="14"/>
  <c r="AB144" i="14"/>
  <c r="AC144" i="14"/>
  <c r="AC334" i="14" s="1"/>
  <c r="AC338" i="14" s="1"/>
  <c r="AD144" i="14"/>
  <c r="AD334" i="14" s="1"/>
  <c r="AD338" i="14" s="1"/>
  <c r="AE144" i="14"/>
  <c r="AE334" i="14" s="1"/>
  <c r="AE338" i="14" s="1"/>
  <c r="AF144" i="14"/>
  <c r="AF334" i="14" s="1"/>
  <c r="AF338" i="14" s="1"/>
  <c r="AG144" i="14"/>
  <c r="AG334" i="14" s="1"/>
  <c r="AG338" i="14" s="1"/>
  <c r="AH144" i="14"/>
  <c r="AH334" i="14" s="1"/>
  <c r="AH338" i="14" s="1"/>
  <c r="AI144" i="14"/>
  <c r="AI334" i="14" s="1"/>
  <c r="AI338" i="14" s="1"/>
  <c r="AJ144" i="14"/>
  <c r="AJ334" i="14" s="1"/>
  <c r="AJ338" i="14" s="1"/>
  <c r="AK144" i="14"/>
  <c r="AK334" i="14" s="1"/>
  <c r="AK338" i="14" s="1"/>
  <c r="AL144" i="14"/>
  <c r="AL334" i="14" s="1"/>
  <c r="AL338" i="14" s="1"/>
  <c r="AM334" i="14"/>
  <c r="AM338" i="14" s="1"/>
  <c r="E143" i="14"/>
  <c r="F143" i="14"/>
  <c r="G143" i="14"/>
  <c r="H143" i="14"/>
  <c r="I143" i="14"/>
  <c r="J143" i="14"/>
  <c r="K143" i="14"/>
  <c r="L143" i="14"/>
  <c r="M143" i="14"/>
  <c r="N143" i="14"/>
  <c r="O143" i="14"/>
  <c r="P143" i="14"/>
  <c r="Q143" i="14"/>
  <c r="R143" i="14"/>
  <c r="S143" i="14"/>
  <c r="T143" i="14"/>
  <c r="U143" i="14"/>
  <c r="V143" i="14"/>
  <c r="W143" i="14"/>
  <c r="X143" i="14"/>
  <c r="Y143" i="14"/>
  <c r="Z143" i="14"/>
  <c r="AA143" i="14"/>
  <c r="AB143" i="14"/>
  <c r="AC143" i="14"/>
  <c r="AD143" i="14"/>
  <c r="AE143" i="14"/>
  <c r="AF143" i="14"/>
  <c r="AG143" i="14"/>
  <c r="AH143" i="14"/>
  <c r="AI143" i="14"/>
  <c r="AJ143" i="14"/>
  <c r="AK143" i="14"/>
  <c r="AL143" i="14"/>
  <c r="AM143" i="14"/>
  <c r="AC147" i="14" l="1"/>
  <c r="AK147" i="14"/>
  <c r="AJ147" i="14"/>
  <c r="AH147" i="14"/>
  <c r="AG147" i="14"/>
  <c r="AE147" i="14"/>
  <c r="AL147" i="14"/>
  <c r="AD147" i="14"/>
  <c r="AP283" i="14"/>
  <c r="AQ295" i="14"/>
  <c r="AQ144" i="14" l="1"/>
  <c r="AQ284" i="14"/>
  <c r="AR284" i="14"/>
  <c r="AS284" i="14"/>
  <c r="AT284" i="14"/>
  <c r="AU284" i="14"/>
  <c r="AV284" i="14"/>
  <c r="AM283" i="14"/>
  <c r="AN283" i="14"/>
  <c r="AO283" i="14"/>
  <c r="AQ283" i="14"/>
  <c r="AR283" i="14"/>
  <c r="AS283" i="14"/>
  <c r="AT283" i="14"/>
  <c r="AU283" i="14"/>
  <c r="AU331" i="14" s="1"/>
  <c r="AV283" i="14"/>
  <c r="AV331" i="14" s="1"/>
  <c r="AT331" i="14"/>
  <c r="AW331" i="14"/>
  <c r="AW142" i="14"/>
  <c r="AR230" i="14"/>
  <c r="AS231" i="14"/>
  <c r="AU231" i="14"/>
  <c r="AS331" i="14"/>
  <c r="AN145" i="14"/>
  <c r="AO145" i="14"/>
  <c r="AP145" i="14"/>
  <c r="AQ145" i="14"/>
  <c r="AR145" i="14"/>
  <c r="AS145" i="14"/>
  <c r="AN144" i="14"/>
  <c r="AO144" i="14"/>
  <c r="AO334" i="14" s="1"/>
  <c r="AO338" i="14" s="1"/>
  <c r="AP144" i="14"/>
  <c r="AP334" i="14" s="1"/>
  <c r="AR144" i="14"/>
  <c r="AS144" i="14"/>
  <c r="AN143" i="14"/>
  <c r="AO143" i="14"/>
  <c r="AP143" i="14"/>
  <c r="AQ143" i="14"/>
  <c r="AR143" i="14"/>
  <c r="AS143" i="14"/>
  <c r="AS142" i="14"/>
  <c r="AS141" i="14"/>
  <c r="AN334" i="14" l="1"/>
  <c r="AN338" i="14" s="1"/>
  <c r="AN147" i="14"/>
  <c r="AQ334" i="14"/>
  <c r="AQ147" i="14"/>
  <c r="AQ323" i="14"/>
  <c r="AR323" i="14"/>
  <c r="AS323" i="14"/>
  <c r="AQ322" i="14"/>
  <c r="AR322" i="14"/>
  <c r="AS322" i="14"/>
  <c r="AM295" i="14"/>
  <c r="AN295" i="14"/>
  <c r="AO295" i="14"/>
  <c r="AP295" i="14"/>
  <c r="AR295" i="14"/>
  <c r="AS295" i="14"/>
  <c r="AM286" i="14"/>
  <c r="AN286" i="14"/>
  <c r="AO286" i="14"/>
  <c r="AP286" i="14"/>
  <c r="AQ286" i="14"/>
  <c r="AR286" i="14"/>
  <c r="AR259" i="14"/>
  <c r="AQ258" i="14"/>
  <c r="AR258" i="14"/>
  <c r="AO257" i="14"/>
  <c r="AP257" i="14"/>
  <c r="AQ257" i="14"/>
  <c r="AR257" i="14"/>
  <c r="AP256" i="14"/>
  <c r="AQ256" i="14"/>
  <c r="AR256" i="14"/>
  <c r="AQ233" i="14"/>
  <c r="AR233" i="14"/>
  <c r="AR335" i="14" s="1"/>
  <c r="AS233" i="14"/>
  <c r="AS335" i="14" s="1"/>
  <c r="AQ232" i="14"/>
  <c r="AR232" i="14"/>
  <c r="AS232" i="14"/>
  <c r="AQ231" i="14"/>
  <c r="AR231" i="14"/>
  <c r="AQ230" i="14"/>
  <c r="AS230" i="14"/>
  <c r="AP190" i="14"/>
  <c r="AQ190" i="14"/>
  <c r="AR190" i="14"/>
  <c r="AS190" i="14"/>
  <c r="AP189" i="14"/>
  <c r="AQ189" i="14"/>
  <c r="AR189" i="14"/>
  <c r="AR334" i="14" s="1"/>
  <c r="AS189" i="14"/>
  <c r="AP188" i="14"/>
  <c r="AQ188" i="14"/>
  <c r="AR188" i="14"/>
  <c r="AR332" i="14" s="1"/>
  <c r="AS188" i="14"/>
  <c r="AO187" i="14"/>
  <c r="AP187" i="14"/>
  <c r="AQ187" i="14"/>
  <c r="AR187" i="14"/>
  <c r="AS187" i="14"/>
  <c r="AO186" i="14"/>
  <c r="AP186" i="14"/>
  <c r="AP330" i="14" s="1"/>
  <c r="AP338" i="14" s="1"/>
  <c r="AQ186" i="14"/>
  <c r="AQ330" i="14" s="1"/>
  <c r="AQ338" i="14" s="1"/>
  <c r="AR186" i="14"/>
  <c r="AR330" i="14" s="1"/>
  <c r="AS186" i="14"/>
  <c r="AS330" i="14" s="1"/>
  <c r="AU189" i="14" l="1"/>
  <c r="AV189" i="14"/>
  <c r="AW189" i="14"/>
  <c r="AU190" i="14"/>
  <c r="AV190" i="14"/>
  <c r="AW190" i="14"/>
  <c r="AT189" i="14"/>
  <c r="AW188" i="14"/>
  <c r="AV188" i="14"/>
  <c r="AU188" i="14"/>
  <c r="AT188" i="14"/>
  <c r="BA181" i="14"/>
  <c r="BC181" i="14" s="1"/>
  <c r="AZ181" i="14"/>
  <c r="AY181" i="14"/>
  <c r="AY174" i="14"/>
  <c r="AZ174" i="14"/>
  <c r="BA174" i="14"/>
  <c r="AT190" i="14"/>
  <c r="AU323" i="14"/>
  <c r="AV323" i="14"/>
  <c r="AW323" i="14"/>
  <c r="AT323" i="14"/>
  <c r="AU322" i="14"/>
  <c r="AV322" i="14"/>
  <c r="AZ322" i="14" s="1"/>
  <c r="AW322" i="14"/>
  <c r="AT322" i="14"/>
  <c r="AW284" i="14"/>
  <c r="AW283" i="14"/>
  <c r="AU257" i="14"/>
  <c r="AV257" i="14"/>
  <c r="AW257" i="14"/>
  <c r="AT257" i="14"/>
  <c r="AU233" i="14"/>
  <c r="AV233" i="14"/>
  <c r="AW233" i="14"/>
  <c r="AT233" i="14"/>
  <c r="AU232" i="14"/>
  <c r="AV232" i="14"/>
  <c r="AW232" i="14"/>
  <c r="AT232" i="14"/>
  <c r="AZ226" i="14"/>
  <c r="AY226" i="14"/>
  <c r="AV231" i="14"/>
  <c r="AW231" i="14"/>
  <c r="AT231" i="14"/>
  <c r="AU230" i="14"/>
  <c r="AV230" i="14"/>
  <c r="AW230" i="14"/>
  <c r="AT230" i="14"/>
  <c r="AU187" i="14"/>
  <c r="AV187" i="14"/>
  <c r="AW187" i="14"/>
  <c r="AT187" i="14"/>
  <c r="AU186" i="14"/>
  <c r="AV186" i="14"/>
  <c r="AW186" i="14"/>
  <c r="AT186" i="14"/>
  <c r="AY138" i="14"/>
  <c r="AY132" i="14"/>
  <c r="AY124" i="14"/>
  <c r="AY109" i="14"/>
  <c r="AY110" i="14"/>
  <c r="AY111" i="14"/>
  <c r="AY112" i="14"/>
  <c r="AY105" i="14"/>
  <c r="AY106" i="14"/>
  <c r="AY99" i="14"/>
  <c r="AY82" i="14"/>
  <c r="AY83" i="14"/>
  <c r="AY76" i="14"/>
  <c r="AY72" i="14"/>
  <c r="AY59" i="14"/>
  <c r="AY55" i="14"/>
  <c r="AY56" i="14"/>
  <c r="AY44" i="14"/>
  <c r="AY22" i="14"/>
  <c r="AU145" i="14" l="1"/>
  <c r="AV145" i="14"/>
  <c r="AW145" i="14"/>
  <c r="AT145" i="14"/>
  <c r="AU144" i="14"/>
  <c r="AV144" i="14"/>
  <c r="AW144" i="14"/>
  <c r="AT144" i="14"/>
  <c r="AU143" i="14"/>
  <c r="AU332" i="14" s="1"/>
  <c r="AV143" i="14"/>
  <c r="AV332" i="14" s="1"/>
  <c r="AW143" i="14"/>
  <c r="AW332" i="14" s="1"/>
  <c r="AT143" i="14"/>
  <c r="AT332" i="14" s="1"/>
  <c r="AU142" i="14" l="1"/>
  <c r="AV142" i="14"/>
  <c r="AT142" i="14"/>
  <c r="AU141" i="14"/>
  <c r="AV141" i="14"/>
  <c r="AW141" i="14"/>
  <c r="AT141" i="14"/>
  <c r="BA315" i="14"/>
  <c r="BC315" i="14" s="1"/>
  <c r="AZ315" i="14"/>
  <c r="AY315" i="14"/>
  <c r="BA311" i="14"/>
  <c r="BC311" i="14" s="1"/>
  <c r="AZ311" i="14"/>
  <c r="AY311" i="14"/>
  <c r="BA309" i="14"/>
  <c r="BC309" i="14" s="1"/>
  <c r="AZ309" i="14"/>
  <c r="AY309" i="14"/>
  <c r="AZ228" i="14"/>
  <c r="AY228" i="14"/>
  <c r="BA225" i="14"/>
  <c r="BC225" i="14" s="1"/>
  <c r="AZ225" i="14"/>
  <c r="AY225" i="14"/>
  <c r="BA224" i="14"/>
  <c r="BC224" i="14" s="1"/>
  <c r="AZ224" i="14"/>
  <c r="AY224" i="14"/>
  <c r="BA221" i="14"/>
  <c r="BC221" i="14" s="1"/>
  <c r="AZ221" i="14"/>
  <c r="AY221" i="14"/>
  <c r="AZ220" i="14"/>
  <c r="AY220" i="14"/>
  <c r="BA219" i="14"/>
  <c r="BC219" i="14" s="1"/>
  <c r="AZ219" i="14"/>
  <c r="AY219" i="14"/>
  <c r="AD219" i="14"/>
  <c r="AC219" i="14"/>
  <c r="AB219" i="14"/>
  <c r="AZ218" i="14"/>
  <c r="AY218" i="14"/>
  <c r="BA217" i="14"/>
  <c r="BC217" i="14" s="1"/>
  <c r="AZ217" i="14"/>
  <c r="AY217" i="14"/>
  <c r="BA230" i="14"/>
  <c r="AZ230" i="14"/>
  <c r="AY230" i="14"/>
  <c r="BA231" i="14"/>
  <c r="BC231" i="14" s="1"/>
  <c r="AZ231" i="14"/>
  <c r="AY231" i="14"/>
  <c r="BA205" i="14"/>
  <c r="BC205" i="14" s="1"/>
  <c r="AZ205" i="14"/>
  <c r="AY205" i="14"/>
  <c r="BA204" i="14"/>
  <c r="BC204" i="14" s="1"/>
  <c r="AZ204" i="14"/>
  <c r="AY204" i="14"/>
  <c r="AD204" i="14"/>
  <c r="AC204" i="14"/>
  <c r="AB204" i="14"/>
  <c r="Y204" i="14"/>
  <c r="AY170" i="14"/>
  <c r="AY169" i="14"/>
  <c r="BA179" i="14"/>
  <c r="BC179" i="14" s="1"/>
  <c r="AZ179" i="14"/>
  <c r="AY179" i="14"/>
  <c r="AZ177" i="14"/>
  <c r="AY177" i="14"/>
  <c r="BA175" i="14"/>
  <c r="BC175" i="14" s="1"/>
  <c r="AY175" i="14"/>
  <c r="BA104" i="14"/>
  <c r="BC104" i="14" s="1"/>
  <c r="AZ104" i="14"/>
  <c r="AY104" i="14"/>
  <c r="Z104" i="14"/>
  <c r="Y104" i="14"/>
  <c r="X104" i="14"/>
  <c r="S104" i="14"/>
  <c r="AZ95" i="14"/>
  <c r="AY95" i="14"/>
  <c r="BA87" i="14"/>
  <c r="BC87" i="14" s="1"/>
  <c r="AZ87" i="14"/>
  <c r="AY87" i="14"/>
  <c r="BA117" i="14"/>
  <c r="BC117" i="14" s="1"/>
  <c r="AZ117" i="14"/>
  <c r="AY117" i="14"/>
  <c r="AZ250" i="14"/>
  <c r="AY250" i="14"/>
  <c r="AZ246" i="14"/>
  <c r="AY246" i="14"/>
  <c r="BA166" i="14"/>
  <c r="BC166" i="14" s="1"/>
  <c r="AZ166" i="14"/>
  <c r="AY166" i="14"/>
  <c r="BA160" i="14"/>
  <c r="BC160" i="14" s="1"/>
  <c r="AZ160" i="14"/>
  <c r="AY160" i="14"/>
  <c r="AY155" i="14"/>
  <c r="BC230" i="14" l="1"/>
  <c r="AY14" i="14" l="1"/>
  <c r="AY128" i="14"/>
  <c r="AY17" i="14"/>
  <c r="AY18" i="14"/>
  <c r="AY19" i="14"/>
  <c r="BA128" i="14"/>
  <c r="BC128" i="14" s="1"/>
  <c r="AZ128" i="14"/>
  <c r="AU259" i="14"/>
  <c r="AU295" i="14" l="1"/>
  <c r="AV295" i="14"/>
  <c r="AV259" i="14"/>
  <c r="AW259" i="14"/>
  <c r="AV258" i="14"/>
  <c r="AV334" i="14" s="1"/>
  <c r="AW258" i="14"/>
  <c r="AW334" i="14" s="1"/>
  <c r="AU258" i="14"/>
  <c r="AU334" i="14" s="1"/>
  <c r="AV256" i="14"/>
  <c r="AW256" i="14"/>
  <c r="AU256" i="14"/>
  <c r="AV234" i="14"/>
  <c r="AW234" i="14"/>
  <c r="AU234" i="14"/>
  <c r="AU336" i="14" s="1"/>
  <c r="AV335" i="14"/>
  <c r="AW335" i="14"/>
  <c r="AU335" i="14"/>
  <c r="AV330" i="14"/>
  <c r="AW330" i="14"/>
  <c r="AU330" i="14"/>
  <c r="AW336" i="14" l="1"/>
  <c r="AV336" i="14"/>
  <c r="AW286" i="14"/>
  <c r="AV286" i="14"/>
  <c r="AU286" i="14"/>
  <c r="AV325" i="14"/>
  <c r="BA130" i="14"/>
  <c r="BC130" i="14" s="1"/>
  <c r="AZ130" i="14"/>
  <c r="AY130" i="14"/>
  <c r="BA129" i="14"/>
  <c r="BC129" i="14" s="1"/>
  <c r="AZ129" i="14"/>
  <c r="AY129" i="14"/>
  <c r="AV261" i="14"/>
  <c r="BA247" i="14"/>
  <c r="BC247" i="14" s="1"/>
  <c r="AZ247" i="14"/>
  <c r="AY247" i="14"/>
  <c r="BA248" i="14"/>
  <c r="BC248" i="14" s="1"/>
  <c r="AZ248" i="14"/>
  <c r="AY248" i="14"/>
  <c r="AZ252" i="14"/>
  <c r="AY252" i="14"/>
  <c r="BA251" i="14"/>
  <c r="BC251" i="14" s="1"/>
  <c r="AZ251" i="14"/>
  <c r="AY251" i="14"/>
  <c r="BA253" i="14"/>
  <c r="BC253" i="14" s="1"/>
  <c r="AZ253" i="14"/>
  <c r="AY253" i="14"/>
  <c r="BA249" i="14"/>
  <c r="BC249" i="14" s="1"/>
  <c r="AZ249" i="14"/>
  <c r="AY249" i="14"/>
  <c r="BA245" i="14"/>
  <c r="BC245" i="14" s="1"/>
  <c r="AZ245" i="14"/>
  <c r="AY245" i="14"/>
  <c r="BA244" i="14"/>
  <c r="BC244" i="14" s="1"/>
  <c r="AZ244" i="14"/>
  <c r="AY244" i="14"/>
  <c r="AZ242" i="14"/>
  <c r="AY242" i="14"/>
  <c r="AV236" i="14"/>
  <c r="AV147" i="14"/>
  <c r="BA133" i="14"/>
  <c r="BC133" i="14" s="1"/>
  <c r="AZ133" i="14"/>
  <c r="AY133" i="14"/>
  <c r="AZ313" i="14"/>
  <c r="AY313" i="14"/>
  <c r="BA307" i="14"/>
  <c r="BC307" i="14" s="1"/>
  <c r="AZ307" i="14"/>
  <c r="AY307" i="14"/>
  <c r="AW295" i="14"/>
  <c r="AY295" i="14" s="1"/>
  <c r="BA293" i="14"/>
  <c r="BC293" i="14" s="1"/>
  <c r="AZ293" i="14"/>
  <c r="AY293" i="14"/>
  <c r="BA292" i="14"/>
  <c r="BC292" i="14" s="1"/>
  <c r="AZ292" i="14"/>
  <c r="AY292" i="14"/>
  <c r="BA291" i="14"/>
  <c r="BC291" i="14" s="1"/>
  <c r="AZ291" i="14"/>
  <c r="AY291" i="14"/>
  <c r="AZ280" i="14"/>
  <c r="AY280" i="14"/>
  <c r="AZ279" i="14"/>
  <c r="AY279" i="14"/>
  <c r="AW270" i="14"/>
  <c r="AV270" i="14"/>
  <c r="AU270" i="14"/>
  <c r="BA266" i="14"/>
  <c r="BC266" i="14" s="1"/>
  <c r="AZ266" i="14"/>
  <c r="AY266" i="14"/>
  <c r="BA215" i="14"/>
  <c r="BC215" i="14" s="1"/>
  <c r="AZ215" i="14"/>
  <c r="AY215" i="14"/>
  <c r="BA214" i="14"/>
  <c r="BC214" i="14" s="1"/>
  <c r="AZ214" i="14"/>
  <c r="AY214" i="14"/>
  <c r="BA212" i="14"/>
  <c r="BC212" i="14" s="1"/>
  <c r="AZ212" i="14"/>
  <c r="AY212" i="14"/>
  <c r="BA211" i="14"/>
  <c r="BC211" i="14" s="1"/>
  <c r="AZ211" i="14"/>
  <c r="AY211" i="14"/>
  <c r="BA210" i="14"/>
  <c r="BC210" i="14" s="1"/>
  <c r="AZ210" i="14"/>
  <c r="AY210" i="14"/>
  <c r="BA209" i="14"/>
  <c r="BC209" i="14" s="1"/>
  <c r="AZ209" i="14"/>
  <c r="AY209" i="14"/>
  <c r="AZ208" i="14"/>
  <c r="AY208" i="14"/>
  <c r="BA207" i="14"/>
  <c r="BC207" i="14" s="1"/>
  <c r="AZ207" i="14"/>
  <c r="AY207" i="14"/>
  <c r="BA206" i="14"/>
  <c r="BC206" i="14" s="1"/>
  <c r="AZ206" i="14"/>
  <c r="AY206" i="14"/>
  <c r="BA202" i="14"/>
  <c r="BC202" i="14" s="1"/>
  <c r="AZ202" i="14"/>
  <c r="AY202" i="14"/>
  <c r="BA201" i="14"/>
  <c r="BC201" i="14" s="1"/>
  <c r="AZ201" i="14"/>
  <c r="AY201" i="14"/>
  <c r="AZ200" i="14"/>
  <c r="AY200" i="14"/>
  <c r="BA197" i="14"/>
  <c r="BC197" i="14" s="1"/>
  <c r="AZ197" i="14"/>
  <c r="AY197" i="14"/>
  <c r="AY178" i="14"/>
  <c r="BC174" i="14"/>
  <c r="BA172" i="14"/>
  <c r="BC172" i="14" s="1"/>
  <c r="AZ172" i="14"/>
  <c r="AY172" i="14"/>
  <c r="BA168" i="14"/>
  <c r="BC168" i="14" s="1"/>
  <c r="AZ168" i="14"/>
  <c r="AY168" i="14"/>
  <c r="BA163" i="14"/>
  <c r="BC163" i="14" s="1"/>
  <c r="AZ163" i="14"/>
  <c r="AY163" i="14"/>
  <c r="BA162" i="14"/>
  <c r="BC162" i="14" s="1"/>
  <c r="AZ162" i="14"/>
  <c r="AY162" i="14"/>
  <c r="BA161" i="14"/>
  <c r="BC161" i="14" s="1"/>
  <c r="AZ161" i="14"/>
  <c r="AY161" i="14"/>
  <c r="BA153" i="14"/>
  <c r="BC153" i="14" s="1"/>
  <c r="AZ153" i="14"/>
  <c r="AY153" i="14"/>
  <c r="BA152" i="14"/>
  <c r="BC152" i="14" s="1"/>
  <c r="AZ152" i="14"/>
  <c r="AY152" i="14"/>
  <c r="AZ126" i="14"/>
  <c r="AY126" i="14"/>
  <c r="BA125" i="14"/>
  <c r="BC125" i="14" s="1"/>
  <c r="AZ125" i="14"/>
  <c r="AY125" i="14"/>
  <c r="BA123" i="14"/>
  <c r="BC123" i="14" s="1"/>
  <c r="AZ123" i="14"/>
  <c r="AY123" i="14"/>
  <c r="BA122" i="14"/>
  <c r="BC122" i="14" s="1"/>
  <c r="AZ122" i="14"/>
  <c r="AY122" i="14"/>
  <c r="BA121" i="14"/>
  <c r="BC121" i="14" s="1"/>
  <c r="AZ121" i="14"/>
  <c r="AY121" i="14"/>
  <c r="BA120" i="14"/>
  <c r="BC120" i="14" s="1"/>
  <c r="AZ120" i="14"/>
  <c r="AY120" i="14"/>
  <c r="AZ119" i="14"/>
  <c r="AY119" i="14"/>
  <c r="BA116" i="14"/>
  <c r="BC116" i="14" s="1"/>
  <c r="AZ116" i="14"/>
  <c r="AY116" i="14"/>
  <c r="BA115" i="14"/>
  <c r="BC115" i="14" s="1"/>
  <c r="AZ115" i="14"/>
  <c r="AY115" i="14"/>
  <c r="BA114" i="14"/>
  <c r="BC114" i="14" s="1"/>
  <c r="AZ114" i="14"/>
  <c r="AY114" i="14"/>
  <c r="BA113" i="14"/>
  <c r="BC113" i="14" s="1"/>
  <c r="AZ113" i="14"/>
  <c r="AY113" i="14"/>
  <c r="AY108" i="14"/>
  <c r="BA102" i="14"/>
  <c r="BC102" i="14" s="1"/>
  <c r="AZ102" i="14"/>
  <c r="AY102" i="14"/>
  <c r="BA101" i="14"/>
  <c r="BC101" i="14" s="1"/>
  <c r="AZ101" i="14"/>
  <c r="AY101" i="14"/>
  <c r="AZ97" i="14"/>
  <c r="AY97" i="14"/>
  <c r="BA93" i="14"/>
  <c r="BC93" i="14" s="1"/>
  <c r="AZ93" i="14"/>
  <c r="AY93" i="14"/>
  <c r="BA92" i="14"/>
  <c r="BC92" i="14" s="1"/>
  <c r="AZ92" i="14"/>
  <c r="AY92" i="14"/>
  <c r="BA91" i="14"/>
  <c r="BC91" i="14" s="1"/>
  <c r="AZ91" i="14"/>
  <c r="AY91" i="14"/>
  <c r="BA90" i="14"/>
  <c r="BC90" i="14" s="1"/>
  <c r="AZ90" i="14"/>
  <c r="AY90" i="14"/>
  <c r="BA81" i="14"/>
  <c r="BC81" i="14" s="1"/>
  <c r="AZ81" i="14"/>
  <c r="AY81" i="14"/>
  <c r="BA80" i="14"/>
  <c r="BC80" i="14" s="1"/>
  <c r="AZ80" i="14"/>
  <c r="AY80" i="14"/>
  <c r="AZ78" i="14"/>
  <c r="AY78" i="14"/>
  <c r="BA77" i="14"/>
  <c r="BC77" i="14" s="1"/>
  <c r="AZ77" i="14"/>
  <c r="AY77" i="14"/>
  <c r="BA75" i="14"/>
  <c r="BC75" i="14" s="1"/>
  <c r="AZ75" i="14"/>
  <c r="AY75" i="14"/>
  <c r="BA74" i="14"/>
  <c r="BC74" i="14" s="1"/>
  <c r="AZ74" i="14"/>
  <c r="AY74" i="14"/>
  <c r="BA73" i="14"/>
  <c r="BC73" i="14" s="1"/>
  <c r="AZ73" i="14"/>
  <c r="AY73" i="14"/>
  <c r="BA70" i="14"/>
  <c r="BC70" i="14" s="1"/>
  <c r="AZ70" i="14"/>
  <c r="AY70" i="14"/>
  <c r="BA69" i="14"/>
  <c r="BC69" i="14" s="1"/>
  <c r="AZ69" i="14"/>
  <c r="AY69" i="14"/>
  <c r="AZ68" i="14"/>
  <c r="AY68" i="14"/>
  <c r="AY67" i="14"/>
  <c r="AY66" i="14"/>
  <c r="BA64" i="14"/>
  <c r="BC64" i="14" s="1"/>
  <c r="AZ64" i="14"/>
  <c r="AY64" i="14"/>
  <c r="BA63" i="14"/>
  <c r="BC63" i="14" s="1"/>
  <c r="AZ63" i="14"/>
  <c r="AY63" i="14"/>
  <c r="BA62" i="14"/>
  <c r="BC62" i="14" s="1"/>
  <c r="AZ62" i="14"/>
  <c r="AY62" i="14"/>
  <c r="AZ61" i="14"/>
  <c r="AY61" i="14"/>
  <c r="AZ58" i="14"/>
  <c r="AY58" i="14"/>
  <c r="AZ57" i="14"/>
  <c r="AY57" i="14"/>
  <c r="AZ55" i="14"/>
  <c r="AY54" i="14"/>
  <c r="AY53" i="14"/>
  <c r="AZ52" i="14"/>
  <c r="AY52" i="14"/>
  <c r="AY51" i="14"/>
  <c r="BA50" i="14"/>
  <c r="BC50" i="14" s="1"/>
  <c r="AZ50" i="14"/>
  <c r="AY50" i="14"/>
  <c r="BA49" i="14"/>
  <c r="BC49" i="14" s="1"/>
  <c r="AZ49" i="14"/>
  <c r="AY49" i="14"/>
  <c r="AE49" i="14"/>
  <c r="AY48" i="14"/>
  <c r="AY47" i="14"/>
  <c r="AY45" i="14"/>
  <c r="AZ43" i="14"/>
  <c r="AY43" i="14"/>
  <c r="AZ42" i="14"/>
  <c r="AY42" i="14"/>
  <c r="AZ41" i="14"/>
  <c r="AY41" i="14"/>
  <c r="AZ40" i="14"/>
  <c r="AY40" i="14"/>
  <c r="BA38" i="14"/>
  <c r="BC38" i="14" s="1"/>
  <c r="AZ38" i="14"/>
  <c r="AY38" i="14"/>
  <c r="BA37" i="14"/>
  <c r="BC37" i="14" s="1"/>
  <c r="AZ37" i="14"/>
  <c r="AY37" i="14"/>
  <c r="BA36" i="14"/>
  <c r="BC36" i="14" s="1"/>
  <c r="AZ36" i="14"/>
  <c r="AY36" i="14"/>
  <c r="BA34" i="14"/>
  <c r="BC34" i="14" s="1"/>
  <c r="AZ34" i="14"/>
  <c r="AY34" i="14"/>
  <c r="BA33" i="14"/>
  <c r="BC33" i="14" s="1"/>
  <c r="AZ33" i="14"/>
  <c r="AY33" i="14"/>
  <c r="BA32" i="14"/>
  <c r="BC32" i="14" s="1"/>
  <c r="AZ32" i="14"/>
  <c r="AY32" i="14"/>
  <c r="BA31" i="14"/>
  <c r="BC31" i="14" s="1"/>
  <c r="AZ31" i="14"/>
  <c r="AY31" i="14"/>
  <c r="BA30" i="14"/>
  <c r="BC30" i="14" s="1"/>
  <c r="AZ30" i="14"/>
  <c r="AY30" i="14"/>
  <c r="BA29" i="14"/>
  <c r="BC29" i="14" s="1"/>
  <c r="AZ29" i="14"/>
  <c r="AY29" i="14"/>
  <c r="BA28" i="14"/>
  <c r="BC28" i="14" s="1"/>
  <c r="AZ28" i="14"/>
  <c r="AY28" i="14"/>
  <c r="AZ26" i="14"/>
  <c r="AY26" i="14"/>
  <c r="AZ25" i="14"/>
  <c r="AY25" i="14"/>
  <c r="AY23" i="14"/>
  <c r="BA19" i="14"/>
  <c r="BC19" i="14" s="1"/>
  <c r="AZ19" i="14"/>
  <c r="BA18" i="14"/>
  <c r="BC18" i="14" s="1"/>
  <c r="AZ18" i="14"/>
  <c r="BA17" i="14"/>
  <c r="BC17" i="14" s="1"/>
  <c r="AZ17" i="14"/>
  <c r="BA14" i="14"/>
  <c r="BC14" i="14" s="1"/>
  <c r="AZ14" i="14"/>
  <c r="BA13" i="14"/>
  <c r="BC13" i="14" s="1"/>
  <c r="AZ13" i="14"/>
  <c r="AY13" i="14"/>
  <c r="AU274" i="14" l="1"/>
  <c r="AU333" i="14" s="1"/>
  <c r="AV274" i="14"/>
  <c r="AV333" i="14" s="1"/>
  <c r="AV338" i="14" s="1"/>
  <c r="AW274" i="14"/>
  <c r="AW333" i="14" s="1"/>
  <c r="AY331" i="14"/>
  <c r="AV192" i="14"/>
  <c r="AY334" i="14"/>
  <c r="AY335" i="14"/>
  <c r="AY336" i="14"/>
  <c r="AU325" i="14"/>
  <c r="AY322" i="14"/>
  <c r="AW325" i="14"/>
  <c r="AY323" i="14"/>
  <c r="AY286" i="14"/>
  <c r="AY284" i="14"/>
  <c r="AY283" i="14"/>
  <c r="AY256" i="14"/>
  <c r="AW261" i="14"/>
  <c r="AY257" i="14"/>
  <c r="AU236" i="14"/>
  <c r="AW236" i="14"/>
  <c r="AY232" i="14"/>
  <c r="AY233" i="14"/>
  <c r="AY234" i="14"/>
  <c r="AY186" i="14"/>
  <c r="AY187" i="14"/>
  <c r="AY188" i="14"/>
  <c r="AY190" i="14"/>
  <c r="AU147" i="14"/>
  <c r="AY141" i="14"/>
  <c r="AW147" i="14"/>
  <c r="AY142" i="14"/>
  <c r="AY143" i="14"/>
  <c r="AY144" i="14"/>
  <c r="AY145" i="14"/>
  <c r="AY274" i="14"/>
  <c r="AY270" i="14"/>
  <c r="AY333" i="14" l="1"/>
  <c r="BB322" i="14"/>
  <c r="BA322" i="14"/>
  <c r="BC322" i="14" s="1"/>
  <c r="AY332" i="14"/>
  <c r="AW338" i="14"/>
  <c r="AW192" i="14"/>
  <c r="AY325" i="14"/>
  <c r="AY236" i="14"/>
  <c r="AY147" i="14"/>
  <c r="AY189" i="14" l="1"/>
  <c r="AU192" i="14"/>
  <c r="AU338" i="14"/>
  <c r="AY338" i="14" s="1"/>
  <c r="AY330" i="14"/>
  <c r="AZ143" i="14"/>
  <c r="AH99" i="14"/>
  <c r="AG99" i="14"/>
  <c r="AF99" i="14"/>
  <c r="AC98" i="14"/>
  <c r="AZ141" i="14"/>
  <c r="AL283" i="14"/>
  <c r="AK283" i="14"/>
  <c r="AJ283" i="14"/>
  <c r="AI283" i="14"/>
  <c r="AH283" i="14"/>
  <c r="AG283" i="14"/>
  <c r="AF283" i="14"/>
  <c r="AE283" i="14"/>
  <c r="AD283" i="14"/>
  <c r="AC283" i="14"/>
  <c r="AB283" i="14"/>
  <c r="Z283" i="14"/>
  <c r="Z286" i="14" s="1"/>
  <c r="Y283" i="14"/>
  <c r="Y286" i="14" s="1"/>
  <c r="X283" i="14"/>
  <c r="X286" i="14" s="1"/>
  <c r="V283" i="14"/>
  <c r="V286" i="14" s="1"/>
  <c r="U283" i="14"/>
  <c r="U286" i="14" s="1"/>
  <c r="T283" i="14"/>
  <c r="T286" i="14" s="1"/>
  <c r="S283" i="14"/>
  <c r="S286" i="14" s="1"/>
  <c r="R283" i="14"/>
  <c r="R286" i="14" s="1"/>
  <c r="Q283" i="14"/>
  <c r="Q286" i="14" s="1"/>
  <c r="P283" i="14"/>
  <c r="P286" i="14" s="1"/>
  <c r="O283" i="14"/>
  <c r="O286" i="14" s="1"/>
  <c r="N283" i="14"/>
  <c r="N286" i="14" s="1"/>
  <c r="M283" i="14"/>
  <c r="M286" i="14" s="1"/>
  <c r="L283" i="14"/>
  <c r="L286" i="14" s="1"/>
  <c r="K283" i="14"/>
  <c r="K286" i="14" s="1"/>
  <c r="J283" i="14"/>
  <c r="J286" i="14" s="1"/>
  <c r="I283" i="14"/>
  <c r="I286" i="14" s="1"/>
  <c r="H283" i="14"/>
  <c r="H286" i="14" s="1"/>
  <c r="G283" i="14"/>
  <c r="G286" i="14" s="1"/>
  <c r="F283" i="14"/>
  <c r="F286" i="14" s="1"/>
  <c r="E283" i="14"/>
  <c r="E286" i="14" s="1"/>
  <c r="AZ284" i="14" l="1"/>
  <c r="BA143" i="14"/>
  <c r="BC143" i="14" s="1"/>
  <c r="AS147" i="14"/>
  <c r="AZ142" i="14"/>
  <c r="AZ144" i="14"/>
  <c r="BA142" i="14"/>
  <c r="BC142" i="14" s="1"/>
  <c r="AZ145" i="14"/>
  <c r="BA144" i="14"/>
  <c r="BC144" i="14" s="1"/>
  <c r="BA141" i="14"/>
  <c r="BC141" i="14" s="1"/>
  <c r="BA145" i="14"/>
  <c r="BC145" i="14" s="1"/>
  <c r="AY192" i="14"/>
  <c r="AR147" i="14"/>
  <c r="AO147" i="14"/>
  <c r="AP147" i="14"/>
  <c r="AT147" i="14"/>
  <c r="AD286" i="14"/>
  <c r="AH286" i="14"/>
  <c r="AE286" i="14"/>
  <c r="AI286" i="14"/>
  <c r="AB286" i="14"/>
  <c r="AF286" i="14"/>
  <c r="AS286" i="14"/>
  <c r="AL286" i="14"/>
  <c r="AC286" i="14"/>
  <c r="AG286" i="14"/>
  <c r="AK286" i="14"/>
  <c r="BA147" i="14" l="1"/>
  <c r="BC147" i="14" s="1"/>
  <c r="AZ147" i="14"/>
  <c r="AS257" i="14"/>
  <c r="AS332" i="14" s="1"/>
  <c r="BA257" i="14" l="1"/>
  <c r="BC257" i="14" s="1"/>
  <c r="AZ188" i="14"/>
  <c r="BA188" i="14"/>
  <c r="BC188" i="14" s="1"/>
  <c r="AZ257" i="14"/>
  <c r="BA199" i="14" l="1"/>
  <c r="BC199" i="14" s="1"/>
  <c r="BA183" i="14"/>
  <c r="BC183" i="14" s="1"/>
  <c r="AZ199" i="14"/>
  <c r="AZ183" i="14"/>
  <c r="AY199" i="14"/>
  <c r="AY183" i="14"/>
  <c r="AT295" i="14" l="1"/>
  <c r="AZ283" i="14"/>
  <c r="AT270" i="14"/>
  <c r="AT274" i="14" s="1"/>
  <c r="AT259" i="14"/>
  <c r="AT258" i="14"/>
  <c r="AT334" i="14" s="1"/>
  <c r="AT256" i="14"/>
  <c r="AT234" i="14"/>
  <c r="AT335" i="14"/>
  <c r="AT336" i="14" l="1"/>
  <c r="AT286" i="14"/>
  <c r="AZ286" i="14" s="1"/>
  <c r="AT330" i="14"/>
  <c r="AT325" i="14"/>
  <c r="AT261" i="14"/>
  <c r="AT236" i="14"/>
  <c r="AT333" i="14"/>
  <c r="AT338" i="14" l="1"/>
  <c r="AZ323" i="14" l="1"/>
  <c r="BA323" i="14" l="1"/>
  <c r="BC323" i="14" s="1"/>
  <c r="AS256" i="14"/>
  <c r="AZ295" i="14"/>
  <c r="AS270" i="14"/>
  <c r="AS259" i="14"/>
  <c r="AS258" i="14"/>
  <c r="AS334" i="14" s="1"/>
  <c r="AS234" i="14"/>
  <c r="AZ232" i="14"/>
  <c r="AZ190" i="14"/>
  <c r="AZ189" i="14"/>
  <c r="AZ187" i="14"/>
  <c r="AS274" i="14" l="1"/>
  <c r="AZ274" i="14" s="1"/>
  <c r="AS333" i="14"/>
  <c r="AZ234" i="14"/>
  <c r="AS336" i="14"/>
  <c r="AZ256" i="14"/>
  <c r="AZ331" i="14"/>
  <c r="AZ330" i="14"/>
  <c r="AZ186" i="14"/>
  <c r="AZ335" i="14"/>
  <c r="AZ233" i="14"/>
  <c r="AZ333" i="14"/>
  <c r="AZ270" i="14"/>
  <c r="AZ332" i="14"/>
  <c r="AZ334" i="14"/>
  <c r="AZ336" i="14"/>
  <c r="AS236" i="14"/>
  <c r="AZ236" i="14" s="1"/>
  <c r="AZ192" i="14"/>
  <c r="AS325" i="14"/>
  <c r="AZ325" i="14" s="1"/>
  <c r="AS261" i="14"/>
  <c r="AS338" i="14" l="1"/>
  <c r="AZ338" i="14" l="1"/>
  <c r="BA332" i="14" l="1"/>
  <c r="BC332" i="14" s="1"/>
  <c r="AR270" i="14" l="1"/>
  <c r="AR234" i="14"/>
  <c r="AR336" i="14" s="1"/>
  <c r="AR274" i="14" l="1"/>
  <c r="AR333" i="14"/>
  <c r="AR325" i="14"/>
  <c r="AR261" i="14"/>
  <c r="AR236" i="14"/>
  <c r="AR338" i="14" l="1"/>
  <c r="AQ270" i="14" l="1"/>
  <c r="AQ234" i="14"/>
  <c r="AQ274" i="14" l="1"/>
  <c r="AQ325" i="14"/>
  <c r="AQ236" i="14"/>
  <c r="AP272" i="14" l="1"/>
  <c r="AP270" i="14"/>
  <c r="BA330" i="14" l="1"/>
  <c r="BC330" i="14" s="1"/>
  <c r="AO242" i="14"/>
  <c r="AL295" i="14"/>
  <c r="AK295" i="14"/>
  <c r="AJ295" i="14"/>
  <c r="Y30" i="14"/>
  <c r="Y38" i="14"/>
  <c r="Y122" i="14"/>
  <c r="Z30" i="14"/>
  <c r="Z122" i="14"/>
  <c r="AA30" i="14"/>
  <c r="AA38" i="14"/>
  <c r="Y29" i="14"/>
  <c r="Y37" i="14"/>
  <c r="Y153" i="14"/>
  <c r="Y207" i="14"/>
  <c r="Y211" i="14"/>
  <c r="Y214" i="14"/>
  <c r="Z29" i="14"/>
  <c r="Z153" i="14"/>
  <c r="Z207" i="14"/>
  <c r="Z211" i="14"/>
  <c r="Z214" i="14"/>
  <c r="AA29" i="14"/>
  <c r="AA37" i="14"/>
  <c r="AA207" i="14"/>
  <c r="AA211" i="14"/>
  <c r="AA214" i="14"/>
  <c r="AB207" i="14"/>
  <c r="AB211" i="14"/>
  <c r="AB214" i="14"/>
  <c r="AB318" i="14"/>
  <c r="AC207" i="14"/>
  <c r="AC211" i="14"/>
  <c r="AC214" i="14"/>
  <c r="AD163" i="14"/>
  <c r="AD207" i="14"/>
  <c r="AD211" i="14"/>
  <c r="AD214" i="14"/>
  <c r="Y183" i="14"/>
  <c r="AA183" i="14"/>
  <c r="AB183" i="14"/>
  <c r="AI295" i="14"/>
  <c r="Y26" i="14"/>
  <c r="Y28" i="14"/>
  <c r="Y36" i="14"/>
  <c r="Y69" i="14"/>
  <c r="Y92" i="14"/>
  <c r="Y133" i="14"/>
  <c r="Y161" i="14"/>
  <c r="Y206" i="14"/>
  <c r="Y209" i="14"/>
  <c r="Y210" i="14"/>
  <c r="Y295" i="14"/>
  <c r="Y302" i="14"/>
  <c r="Z26" i="14"/>
  <c r="Z28" i="14"/>
  <c r="Z36" i="14"/>
  <c r="Z69" i="14"/>
  <c r="Z92" i="14"/>
  <c r="Z113" i="14"/>
  <c r="Z133" i="14"/>
  <c r="Z161" i="14"/>
  <c r="Z206" i="14"/>
  <c r="Z209" i="14"/>
  <c r="Z210" i="14"/>
  <c r="Z213" i="14"/>
  <c r="Z292" i="14"/>
  <c r="Z295" i="14" s="1"/>
  <c r="Z302" i="14"/>
  <c r="AA26" i="14"/>
  <c r="AA92" i="14"/>
  <c r="AA116" i="14"/>
  <c r="AA279" i="14"/>
  <c r="AA283" i="14" s="1"/>
  <c r="AA286" i="14" s="1"/>
  <c r="AA206" i="14"/>
  <c r="AA295" i="14"/>
  <c r="AA302" i="14"/>
  <c r="AB26" i="14"/>
  <c r="AB92" i="14"/>
  <c r="AB116" i="14"/>
  <c r="AB202" i="14"/>
  <c r="AB206" i="14"/>
  <c r="AB209" i="14"/>
  <c r="AB210" i="14"/>
  <c r="AB213" i="14"/>
  <c r="AB295" i="14"/>
  <c r="AB302" i="14"/>
  <c r="AC92" i="14"/>
  <c r="AC202" i="14"/>
  <c r="AC206" i="14"/>
  <c r="AC209" i="14"/>
  <c r="AC210" i="14"/>
  <c r="AC213" i="14"/>
  <c r="AC295" i="14"/>
  <c r="AC302" i="14"/>
  <c r="AD92" i="14"/>
  <c r="AD161" i="14"/>
  <c r="AD202" i="14"/>
  <c r="AD206" i="14"/>
  <c r="AD209" i="14"/>
  <c r="AD210" i="14"/>
  <c r="AD213" i="14"/>
  <c r="AD295" i="14"/>
  <c r="AD302" i="14"/>
  <c r="AE295" i="14"/>
  <c r="AE302" i="14"/>
  <c r="AF295" i="14"/>
  <c r="AF302" i="14"/>
  <c r="AG295" i="14"/>
  <c r="AH295" i="14"/>
  <c r="AY12" i="14"/>
  <c r="AZ12" i="14"/>
  <c r="S28" i="14"/>
  <c r="X28" i="14"/>
  <c r="S29" i="14"/>
  <c r="X29" i="14"/>
  <c r="X30" i="14"/>
  <c r="S36" i="14"/>
  <c r="X36" i="14"/>
  <c r="S38" i="14"/>
  <c r="Q40" i="14"/>
  <c r="R40" i="14"/>
  <c r="S40" i="14"/>
  <c r="S62" i="14"/>
  <c r="S63" i="14"/>
  <c r="S69" i="14"/>
  <c r="X69" i="14"/>
  <c r="S75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R92" i="14"/>
  <c r="S92" i="14"/>
  <c r="T92" i="14"/>
  <c r="U92" i="14"/>
  <c r="V92" i="14"/>
  <c r="W92" i="14"/>
  <c r="X92" i="14"/>
  <c r="W279" i="14"/>
  <c r="W283" i="14" s="1"/>
  <c r="W286" i="14" s="1"/>
  <c r="S133" i="14"/>
  <c r="S161" i="14"/>
  <c r="X161" i="14"/>
  <c r="S163" i="14"/>
  <c r="X183" i="14"/>
  <c r="AY196" i="14"/>
  <c r="AZ196" i="14"/>
  <c r="BA196" i="14"/>
  <c r="X206" i="14"/>
  <c r="S207" i="14"/>
  <c r="X207" i="14"/>
  <c r="W209" i="14"/>
  <c r="X209" i="14"/>
  <c r="S210" i="14"/>
  <c r="X210" i="14"/>
  <c r="S211" i="14"/>
  <c r="X211" i="14"/>
  <c r="S214" i="14"/>
  <c r="X214" i="14"/>
  <c r="AY237" i="14"/>
  <c r="AZ237" i="14"/>
  <c r="BA237" i="14"/>
  <c r="AY265" i="14"/>
  <c r="AZ265" i="14"/>
  <c r="BA265" i="14"/>
  <c r="AY290" i="14"/>
  <c r="AZ290" i="14"/>
  <c r="BA290" i="14"/>
  <c r="V295" i="14"/>
  <c r="W295" i="14"/>
  <c r="X295" i="14"/>
  <c r="E302" i="14"/>
  <c r="F302" i="14"/>
  <c r="G302" i="14"/>
  <c r="H302" i="14"/>
  <c r="I302" i="14"/>
  <c r="J302" i="14"/>
  <c r="K302" i="14"/>
  <c r="L302" i="14"/>
  <c r="M302" i="14"/>
  <c r="N302" i="14"/>
  <c r="O302" i="14"/>
  <c r="P302" i="14"/>
  <c r="Q302" i="14"/>
  <c r="R302" i="14"/>
  <c r="S302" i="14"/>
  <c r="T302" i="14"/>
  <c r="U302" i="14"/>
  <c r="V302" i="14"/>
  <c r="W302" i="14"/>
  <c r="X302" i="14"/>
  <c r="X318" i="14"/>
  <c r="AY329" i="14"/>
  <c r="AZ329" i="14"/>
  <c r="BA329" i="14"/>
  <c r="AY339" i="14"/>
  <c r="AZ339" i="14"/>
  <c r="BA339" i="14"/>
  <c r="BB339" i="14"/>
  <c r="BC339" i="14"/>
  <c r="BD339" i="14"/>
  <c r="AY350" i="14"/>
  <c r="AZ350" i="14"/>
  <c r="BA350" i="14"/>
  <c r="AY351" i="14"/>
  <c r="AZ351" i="14"/>
  <c r="BA351" i="14"/>
  <c r="AY352" i="14"/>
  <c r="AZ352" i="14"/>
  <c r="BA352" i="14"/>
  <c r="AY354" i="14"/>
  <c r="AZ354" i="14"/>
  <c r="BA354" i="14"/>
  <c r="AY355" i="14"/>
  <c r="AZ355" i="14"/>
  <c r="BA355" i="14"/>
  <c r="AY356" i="14"/>
  <c r="AZ356" i="14"/>
  <c r="BA356" i="14"/>
  <c r="AY357" i="14"/>
  <c r="AZ357" i="14"/>
  <c r="BA357" i="14"/>
  <c r="AY358" i="14"/>
  <c r="AZ358" i="14"/>
  <c r="BA358" i="14"/>
  <c r="AY359" i="14"/>
  <c r="AZ359" i="14"/>
  <c r="BA359" i="14"/>
  <c r="AY406" i="14"/>
  <c r="AZ406" i="14"/>
  <c r="BA406" i="14"/>
  <c r="AY419" i="14"/>
  <c r="AZ419" i="14"/>
  <c r="BA419" i="14"/>
  <c r="AY420" i="14"/>
  <c r="AZ420" i="14"/>
  <c r="BA420" i="14"/>
  <c r="AY421" i="14"/>
  <c r="AZ421" i="14"/>
  <c r="BA421" i="14"/>
  <c r="AY422" i="14"/>
  <c r="AZ422" i="14"/>
  <c r="BA422" i="14"/>
  <c r="AY423" i="14"/>
  <c r="AZ423" i="14"/>
  <c r="BA423" i="14"/>
  <c r="AY424" i="14"/>
  <c r="AZ424" i="14"/>
  <c r="BA424" i="14"/>
  <c r="AY425" i="14"/>
  <c r="AZ425" i="14"/>
  <c r="BA425" i="14"/>
  <c r="AY426" i="14"/>
  <c r="AZ426" i="14"/>
  <c r="BA426" i="14"/>
  <c r="AY427" i="14"/>
  <c r="AZ427" i="14"/>
  <c r="BA427" i="14"/>
  <c r="AY428" i="14"/>
  <c r="AZ428" i="14"/>
  <c r="BA428" i="14"/>
  <c r="AY429" i="14"/>
  <c r="AZ429" i="14"/>
  <c r="BA429" i="14"/>
  <c r="AY430" i="14"/>
  <c r="AZ430" i="14"/>
  <c r="BA430" i="14"/>
  <c r="AY431" i="14"/>
  <c r="AZ431" i="14"/>
  <c r="BA431" i="14"/>
  <c r="AY432" i="14"/>
  <c r="AZ432" i="14"/>
  <c r="BA432" i="14"/>
  <c r="AY433" i="14"/>
  <c r="AZ433" i="14"/>
  <c r="BA433" i="14"/>
  <c r="AY434" i="14"/>
  <c r="AZ434" i="14"/>
  <c r="BA434" i="14"/>
  <c r="AY435" i="14"/>
  <c r="AZ435" i="14"/>
  <c r="BA435" i="14"/>
  <c r="AY436" i="14"/>
  <c r="AZ436" i="14"/>
  <c r="BA436" i="14"/>
  <c r="AY437" i="14"/>
  <c r="AZ437" i="14"/>
  <c r="BA437" i="14"/>
  <c r="AY438" i="14"/>
  <c r="AZ438" i="14"/>
  <c r="BA438" i="14"/>
  <c r="AY439" i="14"/>
  <c r="AZ439" i="14"/>
  <c r="BA439" i="14"/>
  <c r="AY440" i="14"/>
  <c r="AZ440" i="14"/>
  <c r="BA440" i="14"/>
  <c r="AY441" i="14"/>
  <c r="AZ441" i="14"/>
  <c r="BA441" i="14"/>
  <c r="AY442" i="14"/>
  <c r="AZ442" i="14"/>
  <c r="BA442" i="14"/>
  <c r="AY443" i="14"/>
  <c r="AZ443" i="14"/>
  <c r="BA443" i="14"/>
  <c r="AY444" i="14"/>
  <c r="AZ444" i="14"/>
  <c r="BA444" i="14"/>
  <c r="AY445" i="14"/>
  <c r="AZ445" i="14"/>
  <c r="BA445" i="14"/>
  <c r="AY446" i="14"/>
  <c r="AZ446" i="14"/>
  <c r="BA446" i="14"/>
  <c r="AY447" i="14"/>
  <c r="AZ447" i="14"/>
  <c r="BA447" i="14"/>
  <c r="AY448" i="14"/>
  <c r="AZ448" i="14"/>
  <c r="BA448" i="14"/>
  <c r="AY449" i="14"/>
  <c r="AZ449" i="14"/>
  <c r="BA449" i="14"/>
  <c r="AY450" i="14"/>
  <c r="AZ450" i="14"/>
  <c r="BA450" i="14"/>
  <c r="AY451" i="14"/>
  <c r="AZ451" i="14"/>
  <c r="BA451" i="14"/>
  <c r="AY452" i="14"/>
  <c r="AZ452" i="14"/>
  <c r="BA452" i="14"/>
  <c r="AY453" i="14"/>
  <c r="AZ453" i="14"/>
  <c r="BA453" i="14"/>
  <c r="AY454" i="14"/>
  <c r="AZ454" i="14"/>
  <c r="BA454" i="14"/>
  <c r="AY455" i="14"/>
  <c r="AZ455" i="14"/>
  <c r="BA455" i="14"/>
  <c r="AY456" i="14"/>
  <c r="AZ456" i="14"/>
  <c r="BA456" i="14"/>
  <c r="AY457" i="14"/>
  <c r="AZ457" i="14"/>
  <c r="BA457" i="14"/>
  <c r="AY458" i="14"/>
  <c r="AZ458" i="14"/>
  <c r="BA458" i="14"/>
  <c r="AY459" i="14"/>
  <c r="AZ459" i="14"/>
  <c r="BA459" i="14"/>
  <c r="AY460" i="14"/>
  <c r="AZ460" i="14"/>
  <c r="BA460" i="14"/>
  <c r="AY461" i="14"/>
  <c r="AZ461" i="14"/>
  <c r="BA461" i="14"/>
  <c r="AY462" i="14"/>
  <c r="AZ462" i="14"/>
  <c r="BA462" i="14"/>
  <c r="AY463" i="14"/>
  <c r="AZ463" i="14"/>
  <c r="BA463" i="14"/>
  <c r="AY464" i="14"/>
  <c r="AZ464" i="14"/>
  <c r="BA464" i="14"/>
  <c r="AY465" i="14"/>
  <c r="AZ465" i="14"/>
  <c r="BA465" i="14"/>
  <c r="AY466" i="14"/>
  <c r="AZ466" i="14"/>
  <c r="BA466" i="14"/>
  <c r="AY467" i="14"/>
  <c r="AZ467" i="14"/>
  <c r="BA467" i="14"/>
  <c r="AY468" i="14"/>
  <c r="AZ468" i="14"/>
  <c r="BA468" i="14"/>
  <c r="AY469" i="14"/>
  <c r="AZ469" i="14"/>
  <c r="BA469" i="14"/>
  <c r="AY470" i="14"/>
  <c r="AZ470" i="14"/>
  <c r="BA470" i="14"/>
  <c r="AY471" i="14"/>
  <c r="AZ471" i="14"/>
  <c r="BA471" i="14"/>
  <c r="AY472" i="14"/>
  <c r="AZ472" i="14"/>
  <c r="BA472" i="14"/>
  <c r="AY473" i="14"/>
  <c r="AZ473" i="14"/>
  <c r="BA473" i="14"/>
  <c r="AY474" i="14"/>
  <c r="AZ474" i="14"/>
  <c r="BA474" i="14"/>
  <c r="AY475" i="14"/>
  <c r="AZ475" i="14"/>
  <c r="BA475" i="14"/>
  <c r="AY476" i="14"/>
  <c r="AZ476" i="14"/>
  <c r="BA476" i="14"/>
  <c r="AY477" i="14"/>
  <c r="AZ477" i="14"/>
  <c r="BA477" i="14"/>
  <c r="AY478" i="14"/>
  <c r="AZ478" i="14"/>
  <c r="BA478" i="14"/>
  <c r="AY479" i="14"/>
  <c r="AZ479" i="14"/>
  <c r="BA479" i="14"/>
  <c r="AY480" i="14"/>
  <c r="AZ480" i="14"/>
  <c r="BA480" i="14"/>
  <c r="AY481" i="14"/>
  <c r="AZ481" i="14"/>
  <c r="BA481" i="14"/>
  <c r="AY482" i="14"/>
  <c r="AZ482" i="14"/>
  <c r="BA482" i="14"/>
  <c r="AY483" i="14"/>
  <c r="AZ483" i="14"/>
  <c r="BA483" i="14"/>
  <c r="AY484" i="14"/>
  <c r="AZ484" i="14"/>
  <c r="BA484" i="14"/>
  <c r="AY485" i="14"/>
  <c r="AZ485" i="14"/>
  <c r="BA485" i="14"/>
  <c r="AY486" i="14"/>
  <c r="AZ486" i="14"/>
  <c r="BA486" i="14"/>
  <c r="AY487" i="14"/>
  <c r="AZ487" i="14"/>
  <c r="BA487" i="14"/>
  <c r="AY488" i="14"/>
  <c r="AZ488" i="14"/>
  <c r="BA488" i="14"/>
  <c r="AY489" i="14"/>
  <c r="AZ489" i="14"/>
  <c r="BA489" i="14"/>
  <c r="AY490" i="14"/>
  <c r="AZ490" i="14"/>
  <c r="BA490" i="14"/>
  <c r="AY491" i="14"/>
  <c r="AZ491" i="14"/>
  <c r="BA491" i="14"/>
  <c r="AY492" i="14"/>
  <c r="AZ492" i="14"/>
  <c r="BA492" i="14"/>
  <c r="AY493" i="14"/>
  <c r="AZ493" i="14"/>
  <c r="BA493" i="14"/>
  <c r="AY494" i="14"/>
  <c r="AZ494" i="14"/>
  <c r="BA494" i="14"/>
  <c r="AY495" i="14"/>
  <c r="AZ495" i="14"/>
  <c r="BA495" i="14"/>
  <c r="AY496" i="14"/>
  <c r="AZ496" i="14"/>
  <c r="BA496" i="14"/>
  <c r="AY497" i="14"/>
  <c r="AZ497" i="14"/>
  <c r="BA497" i="14"/>
  <c r="AY498" i="14"/>
  <c r="AZ498" i="14"/>
  <c r="BA498" i="14"/>
  <c r="AY499" i="14"/>
  <c r="AZ499" i="14"/>
  <c r="BA499" i="14"/>
  <c r="AY500" i="14"/>
  <c r="AZ500" i="14"/>
  <c r="BA500" i="14"/>
  <c r="AY501" i="14"/>
  <c r="AZ501" i="14"/>
  <c r="BA501" i="14"/>
  <c r="AY502" i="14"/>
  <c r="AZ502" i="14"/>
  <c r="BA502" i="14"/>
  <c r="AY503" i="14"/>
  <c r="AZ503" i="14"/>
  <c r="BA503" i="14"/>
  <c r="AY504" i="14"/>
  <c r="AZ504" i="14"/>
  <c r="BA504" i="14"/>
  <c r="AY505" i="14"/>
  <c r="AZ505" i="14"/>
  <c r="BA505" i="14"/>
  <c r="AY506" i="14"/>
  <c r="AZ506" i="14"/>
  <c r="BA506" i="14"/>
  <c r="AY507" i="14"/>
  <c r="AZ507" i="14"/>
  <c r="BA507" i="14"/>
  <c r="AY508" i="14"/>
  <c r="AZ508" i="14"/>
  <c r="BA508" i="14"/>
  <c r="AY509" i="14"/>
  <c r="AZ509" i="14"/>
  <c r="BA509" i="14"/>
  <c r="AY510" i="14"/>
  <c r="AZ510" i="14"/>
  <c r="BA510" i="14"/>
  <c r="AY511" i="14"/>
  <c r="AZ511" i="14"/>
  <c r="BA511" i="14"/>
  <c r="AY512" i="14"/>
  <c r="AZ512" i="14"/>
  <c r="BA512" i="14"/>
  <c r="AY513" i="14"/>
  <c r="AZ513" i="14"/>
  <c r="BA513" i="14"/>
  <c r="AY514" i="14"/>
  <c r="AZ514" i="14"/>
  <c r="BA514" i="14"/>
  <c r="AY515" i="14"/>
  <c r="AZ515" i="14"/>
  <c r="BA515" i="14"/>
  <c r="AY516" i="14"/>
  <c r="AZ516" i="14"/>
  <c r="BA516" i="14"/>
  <c r="AY517" i="14"/>
  <c r="AZ517" i="14"/>
  <c r="BA517" i="14"/>
  <c r="AY518" i="14"/>
  <c r="AZ518" i="14"/>
  <c r="BA518" i="14"/>
  <c r="AY519" i="14"/>
  <c r="AZ519" i="14"/>
  <c r="BA519" i="14"/>
  <c r="AY520" i="14"/>
  <c r="AZ520" i="14"/>
  <c r="BA520" i="14"/>
  <c r="AY521" i="14"/>
  <c r="AZ521" i="14"/>
  <c r="BA521" i="14"/>
  <c r="AY522" i="14"/>
  <c r="AZ522" i="14"/>
  <c r="BA522" i="14"/>
  <c r="AY523" i="14"/>
  <c r="AZ523" i="14"/>
  <c r="BA523" i="14"/>
  <c r="AY524" i="14"/>
  <c r="AZ524" i="14"/>
  <c r="BA524" i="14"/>
  <c r="AY525" i="14"/>
  <c r="AZ525" i="14"/>
  <c r="BA525" i="14"/>
  <c r="AY526" i="14"/>
  <c r="AZ526" i="14"/>
  <c r="BA526" i="14"/>
  <c r="AY527" i="14"/>
  <c r="AZ527" i="14"/>
  <c r="BA527" i="14"/>
  <c r="AY528" i="14"/>
  <c r="AZ528" i="14"/>
  <c r="BA528" i="14"/>
  <c r="AY529" i="14"/>
  <c r="AZ529" i="14"/>
  <c r="BA529" i="14"/>
  <c r="AY530" i="14"/>
  <c r="AZ530" i="14"/>
  <c r="BA530" i="14"/>
  <c r="AY531" i="14"/>
  <c r="AZ531" i="14"/>
  <c r="BA531" i="14"/>
  <c r="AY532" i="14"/>
  <c r="AZ532" i="14"/>
  <c r="BA532" i="14"/>
  <c r="AY533" i="14"/>
  <c r="AZ533" i="14"/>
  <c r="BA533" i="14"/>
  <c r="AY534" i="14"/>
  <c r="AZ534" i="14"/>
  <c r="BA534" i="14"/>
  <c r="AY535" i="14"/>
  <c r="AZ535" i="14"/>
  <c r="BA535" i="14"/>
  <c r="AY536" i="14"/>
  <c r="AZ536" i="14"/>
  <c r="BA536" i="14"/>
  <c r="AY537" i="14"/>
  <c r="AZ537" i="14"/>
  <c r="BA537" i="14"/>
  <c r="AY538" i="14"/>
  <c r="AZ538" i="14"/>
  <c r="BA538" i="14"/>
  <c r="AY539" i="14"/>
  <c r="AZ539" i="14"/>
  <c r="BA539" i="14"/>
  <c r="AY540" i="14"/>
  <c r="AZ540" i="14"/>
  <c r="BA540" i="14"/>
  <c r="AY541" i="14"/>
  <c r="AZ541" i="14"/>
  <c r="BA541" i="14"/>
  <c r="AY542" i="14"/>
  <c r="AZ542" i="14"/>
  <c r="BA542" i="14"/>
  <c r="AY543" i="14"/>
  <c r="AZ543" i="14"/>
  <c r="BA543" i="14"/>
  <c r="AY544" i="14"/>
  <c r="AZ544" i="14"/>
  <c r="BA544" i="14"/>
  <c r="AY545" i="14"/>
  <c r="AZ545" i="14"/>
  <c r="BA545" i="14"/>
  <c r="AY546" i="14"/>
  <c r="AZ546" i="14"/>
  <c r="BA546" i="14"/>
  <c r="AY547" i="14"/>
  <c r="AZ547" i="14"/>
  <c r="BA547" i="14"/>
  <c r="AY548" i="14"/>
  <c r="AZ548" i="14"/>
  <c r="BA548" i="14"/>
  <c r="AY549" i="14"/>
  <c r="AZ549" i="14"/>
  <c r="BA549" i="14"/>
  <c r="AY550" i="14"/>
  <c r="AZ550" i="14"/>
  <c r="BA550" i="14"/>
  <c r="AY551" i="14"/>
  <c r="AZ551" i="14"/>
  <c r="BA551" i="14"/>
  <c r="AY552" i="14"/>
  <c r="AZ552" i="14"/>
  <c r="BA552" i="14"/>
  <c r="AY553" i="14"/>
  <c r="AZ553" i="14"/>
  <c r="BA553" i="14"/>
  <c r="AY554" i="14"/>
  <c r="AZ554" i="14"/>
  <c r="BA554" i="14"/>
  <c r="AY555" i="14"/>
  <c r="AZ555" i="14"/>
  <c r="BA555" i="14"/>
  <c r="AY556" i="14"/>
  <c r="AZ556" i="14"/>
  <c r="BA556" i="14"/>
  <c r="AY557" i="14"/>
  <c r="AZ557" i="14"/>
  <c r="BA557" i="14"/>
  <c r="AY558" i="14"/>
  <c r="AZ558" i="14"/>
  <c r="BA558" i="14"/>
  <c r="AY559" i="14"/>
  <c r="AZ559" i="14"/>
  <c r="BA559" i="14"/>
  <c r="AY560" i="14"/>
  <c r="AZ560" i="14"/>
  <c r="BA560" i="14"/>
  <c r="AY561" i="14"/>
  <c r="AZ561" i="14"/>
  <c r="BA561" i="14"/>
  <c r="AY562" i="14"/>
  <c r="AZ562" i="14"/>
  <c r="BA562" i="14"/>
  <c r="AY563" i="14"/>
  <c r="AZ563" i="14"/>
  <c r="BA563" i="14"/>
  <c r="AY564" i="14"/>
  <c r="AZ564" i="14"/>
  <c r="BA564" i="14"/>
  <c r="AY565" i="14"/>
  <c r="AZ565" i="14"/>
  <c r="BA565" i="14"/>
  <c r="AY566" i="14"/>
  <c r="AZ566" i="14"/>
  <c r="BA566" i="14"/>
  <c r="AY567" i="14"/>
  <c r="AZ567" i="14"/>
  <c r="BA567" i="14"/>
  <c r="AY568" i="14"/>
  <c r="AZ568" i="14"/>
  <c r="BA568" i="14"/>
  <c r="AY569" i="14"/>
  <c r="AZ569" i="14"/>
  <c r="BA569" i="14"/>
  <c r="AY570" i="14"/>
  <c r="AZ570" i="14"/>
  <c r="BA570" i="14"/>
  <c r="AY571" i="14"/>
  <c r="AZ571" i="14"/>
  <c r="BA571" i="14"/>
  <c r="AY572" i="14"/>
  <c r="AZ572" i="14"/>
  <c r="BA572" i="14"/>
  <c r="AY573" i="14"/>
  <c r="AZ573" i="14"/>
  <c r="BA573" i="14"/>
  <c r="AY574" i="14"/>
  <c r="AZ574" i="14"/>
  <c r="BA574" i="14"/>
  <c r="AY575" i="14"/>
  <c r="AZ575" i="14"/>
  <c r="BA575" i="14"/>
  <c r="AY576" i="14"/>
  <c r="AZ576" i="14"/>
  <c r="BA576" i="14"/>
  <c r="AY577" i="14"/>
  <c r="AZ577" i="14"/>
  <c r="BA577" i="14"/>
  <c r="AY578" i="14"/>
  <c r="AZ578" i="14"/>
  <c r="BA578" i="14"/>
  <c r="AY579" i="14"/>
  <c r="AZ579" i="14"/>
  <c r="BA579" i="14"/>
  <c r="AY580" i="14"/>
  <c r="AZ580" i="14"/>
  <c r="BA580" i="14"/>
  <c r="AY581" i="14"/>
  <c r="AZ581" i="14"/>
  <c r="BA581" i="14"/>
  <c r="AY582" i="14"/>
  <c r="AZ582" i="14"/>
  <c r="BA582" i="14"/>
  <c r="AY583" i="14"/>
  <c r="AZ583" i="14"/>
  <c r="BA583" i="14"/>
  <c r="AY584" i="14"/>
  <c r="AZ584" i="14"/>
  <c r="BA584" i="14"/>
  <c r="AY585" i="14"/>
  <c r="AZ585" i="14"/>
  <c r="BA585" i="14"/>
  <c r="AY586" i="14"/>
  <c r="AZ586" i="14"/>
  <c r="BA586" i="14"/>
  <c r="AY587" i="14"/>
  <c r="AZ587" i="14"/>
  <c r="BA587" i="14"/>
  <c r="AY588" i="14"/>
  <c r="AZ588" i="14"/>
  <c r="BA588" i="14"/>
  <c r="AY589" i="14"/>
  <c r="AZ589" i="14"/>
  <c r="BA589" i="14"/>
  <c r="AY590" i="14"/>
  <c r="AZ590" i="14"/>
  <c r="BA590" i="14"/>
  <c r="AY591" i="14"/>
  <c r="AZ591" i="14"/>
  <c r="BA591" i="14"/>
  <c r="AY592" i="14"/>
  <c r="AZ592" i="14"/>
  <c r="BA592" i="14"/>
  <c r="AY593" i="14"/>
  <c r="AZ593" i="14"/>
  <c r="BA593" i="14"/>
  <c r="AY594" i="14"/>
  <c r="AZ594" i="14"/>
  <c r="BA594" i="14"/>
  <c r="AY595" i="14"/>
  <c r="AZ595" i="14"/>
  <c r="BA595" i="14"/>
  <c r="AY596" i="14"/>
  <c r="AZ596" i="14"/>
  <c r="BA596" i="14"/>
  <c r="AY597" i="14"/>
  <c r="AZ597" i="14"/>
  <c r="BA597" i="14"/>
  <c r="AY598" i="14"/>
  <c r="AZ598" i="14"/>
  <c r="BA598" i="14"/>
  <c r="AY599" i="14"/>
  <c r="AZ599" i="14"/>
  <c r="BA599" i="14"/>
  <c r="AY600" i="14"/>
  <c r="AZ600" i="14"/>
  <c r="BA600" i="14"/>
  <c r="AY601" i="14"/>
  <c r="AZ601" i="14"/>
  <c r="BA601" i="14"/>
  <c r="AY602" i="14"/>
  <c r="AZ602" i="14"/>
  <c r="BA602" i="14"/>
  <c r="AY603" i="14"/>
  <c r="AZ603" i="14"/>
  <c r="BA603" i="14"/>
  <c r="AY604" i="14"/>
  <c r="AZ604" i="14"/>
  <c r="BA604" i="14"/>
  <c r="AY605" i="14"/>
  <c r="AZ605" i="14"/>
  <c r="BA605" i="14"/>
  <c r="AY606" i="14"/>
  <c r="AZ606" i="14"/>
  <c r="BA606" i="14"/>
  <c r="AY607" i="14"/>
  <c r="AZ607" i="14"/>
  <c r="BA607" i="14"/>
  <c r="AY608" i="14"/>
  <c r="AZ608" i="14"/>
  <c r="BA608" i="14"/>
  <c r="AY609" i="14"/>
  <c r="AZ609" i="14"/>
  <c r="BA609" i="14"/>
  <c r="AY610" i="14"/>
  <c r="AZ610" i="14"/>
  <c r="BA610" i="14"/>
  <c r="AY611" i="14"/>
  <c r="AZ611" i="14"/>
  <c r="BA611" i="14"/>
  <c r="AY612" i="14"/>
  <c r="AZ612" i="14"/>
  <c r="BA612" i="14"/>
  <c r="AY613" i="14"/>
  <c r="AZ613" i="14"/>
  <c r="BA613" i="14"/>
  <c r="AY614" i="14"/>
  <c r="AZ614" i="14"/>
  <c r="BA614" i="14"/>
  <c r="AY615" i="14"/>
  <c r="AZ615" i="14"/>
  <c r="BA615" i="14"/>
  <c r="AY616" i="14"/>
  <c r="AZ616" i="14"/>
  <c r="BA616" i="14"/>
  <c r="AY617" i="14"/>
  <c r="AZ617" i="14"/>
  <c r="BA617" i="14"/>
  <c r="AY618" i="14"/>
  <c r="AZ618" i="14"/>
  <c r="BA618" i="14"/>
  <c r="AY619" i="14"/>
  <c r="AZ619" i="14"/>
  <c r="BA619" i="14"/>
  <c r="AY620" i="14"/>
  <c r="AZ620" i="14"/>
  <c r="BA620" i="14"/>
  <c r="AY621" i="14"/>
  <c r="AZ621" i="14"/>
  <c r="BA621" i="14"/>
  <c r="AY622" i="14"/>
  <c r="AZ622" i="14"/>
  <c r="BA622" i="14"/>
  <c r="AY623" i="14"/>
  <c r="AZ623" i="14"/>
  <c r="BA623" i="14"/>
  <c r="AY624" i="14"/>
  <c r="AZ624" i="14"/>
  <c r="BA624" i="14"/>
  <c r="AY625" i="14"/>
  <c r="AZ625" i="14"/>
  <c r="BA625" i="14"/>
  <c r="AY626" i="14"/>
  <c r="AZ626" i="14"/>
  <c r="BA626" i="14"/>
  <c r="AY627" i="14"/>
  <c r="AZ627" i="14"/>
  <c r="BA627" i="14"/>
  <c r="AY628" i="14"/>
  <c r="AZ628" i="14"/>
  <c r="BA628" i="14"/>
  <c r="AY629" i="14"/>
  <c r="AZ629" i="14"/>
  <c r="BA629" i="14"/>
  <c r="AY630" i="14"/>
  <c r="AZ630" i="14"/>
  <c r="BA630" i="14"/>
  <c r="AY631" i="14"/>
  <c r="AZ631" i="14"/>
  <c r="BA631" i="14"/>
  <c r="AY632" i="14"/>
  <c r="AZ632" i="14"/>
  <c r="BA632" i="14"/>
  <c r="AY633" i="14"/>
  <c r="AZ633" i="14"/>
  <c r="BA633" i="14"/>
  <c r="AY634" i="14"/>
  <c r="AZ634" i="14"/>
  <c r="BA634" i="14"/>
  <c r="AY635" i="14"/>
  <c r="AZ635" i="14"/>
  <c r="BA635" i="14"/>
  <c r="AY636" i="14"/>
  <c r="AZ636" i="14"/>
  <c r="BA636" i="14"/>
  <c r="AY637" i="14"/>
  <c r="AZ637" i="14"/>
  <c r="BA637" i="14"/>
  <c r="AY638" i="14"/>
  <c r="AZ638" i="14"/>
  <c r="BA638" i="14"/>
  <c r="AY639" i="14"/>
  <c r="AZ639" i="14"/>
  <c r="BA639" i="14"/>
  <c r="AY640" i="14"/>
  <c r="AZ640" i="14"/>
  <c r="BA640" i="14"/>
  <c r="AY641" i="14"/>
  <c r="AZ641" i="14"/>
  <c r="BA641" i="14"/>
  <c r="AY642" i="14"/>
  <c r="AZ642" i="14"/>
  <c r="BA642" i="14"/>
  <c r="AY643" i="14"/>
  <c r="AZ643" i="14"/>
  <c r="BA643" i="14"/>
  <c r="AY644" i="14"/>
  <c r="AZ644" i="14"/>
  <c r="BA644" i="14"/>
  <c r="AY645" i="14"/>
  <c r="AZ645" i="14"/>
  <c r="BA645" i="14"/>
  <c r="AY646" i="14"/>
  <c r="AZ646" i="14"/>
  <c r="BA646" i="14"/>
  <c r="AY647" i="14"/>
  <c r="AZ647" i="14"/>
  <c r="BA647" i="14"/>
  <c r="AY648" i="14"/>
  <c r="AZ648" i="14"/>
  <c r="BA648" i="14"/>
  <c r="AY649" i="14"/>
  <c r="AZ649" i="14"/>
  <c r="BA649" i="14"/>
  <c r="AY650" i="14"/>
  <c r="AZ650" i="14"/>
  <c r="BA650" i="14"/>
  <c r="AY651" i="14"/>
  <c r="AZ651" i="14"/>
  <c r="BA651" i="14"/>
  <c r="AY652" i="14"/>
  <c r="AZ652" i="14"/>
  <c r="BA652" i="14"/>
  <c r="AY653" i="14"/>
  <c r="AZ653" i="14"/>
  <c r="BA653" i="14"/>
  <c r="AY654" i="14"/>
  <c r="AZ654" i="14"/>
  <c r="BA654" i="14"/>
  <c r="AY655" i="14"/>
  <c r="AZ655" i="14"/>
  <c r="BA655" i="14"/>
  <c r="AY656" i="14"/>
  <c r="AZ656" i="14"/>
  <c r="BA656" i="14"/>
  <c r="AY657" i="14"/>
  <c r="AZ657" i="14"/>
  <c r="BA657" i="14"/>
  <c r="AY658" i="14"/>
  <c r="AZ658" i="14"/>
  <c r="BA658" i="14"/>
  <c r="AY659" i="14"/>
  <c r="AZ659" i="14"/>
  <c r="BA659" i="14"/>
  <c r="AY660" i="14"/>
  <c r="AZ660" i="14"/>
  <c r="BA660" i="14"/>
  <c r="AY661" i="14"/>
  <c r="AZ661" i="14"/>
  <c r="BA661" i="14"/>
  <c r="AY662" i="14"/>
  <c r="AZ662" i="14"/>
  <c r="BA662" i="14"/>
  <c r="AY663" i="14"/>
  <c r="AZ663" i="14"/>
  <c r="BA663" i="14"/>
  <c r="AY664" i="14"/>
  <c r="AZ664" i="14"/>
  <c r="BA664" i="14"/>
  <c r="AY665" i="14"/>
  <c r="AZ665" i="14"/>
  <c r="BA665" i="14"/>
  <c r="AY666" i="14"/>
  <c r="AZ666" i="14"/>
  <c r="BA666" i="14"/>
  <c r="AY667" i="14"/>
  <c r="AZ667" i="14"/>
  <c r="BA667" i="14"/>
  <c r="AY668" i="14"/>
  <c r="AZ668" i="14"/>
  <c r="BA668" i="14"/>
  <c r="AY669" i="14"/>
  <c r="AZ669" i="14"/>
  <c r="BA669" i="14"/>
  <c r="AY670" i="14"/>
  <c r="AZ670" i="14"/>
  <c r="BA670" i="14"/>
  <c r="AY671" i="14"/>
  <c r="AZ671" i="14"/>
  <c r="BA671" i="14"/>
  <c r="AY672" i="14"/>
  <c r="AZ672" i="14"/>
  <c r="BA672" i="14"/>
  <c r="AY673" i="14"/>
  <c r="AZ673" i="14"/>
  <c r="BA673" i="14"/>
  <c r="AY674" i="14"/>
  <c r="AZ674" i="14"/>
  <c r="BA674" i="14"/>
  <c r="AY675" i="14"/>
  <c r="AZ675" i="14"/>
  <c r="BA675" i="14"/>
  <c r="AY676" i="14"/>
  <c r="AZ676" i="14"/>
  <c r="BA676" i="14"/>
  <c r="AY677" i="14"/>
  <c r="AZ677" i="14"/>
  <c r="BA677" i="14"/>
  <c r="AY678" i="14"/>
  <c r="AZ678" i="14"/>
  <c r="BA678" i="14"/>
  <c r="AY679" i="14"/>
  <c r="AZ679" i="14"/>
  <c r="BA679" i="14"/>
  <c r="AY680" i="14"/>
  <c r="AZ680" i="14"/>
  <c r="BA680" i="14"/>
  <c r="AY681" i="14"/>
  <c r="AZ681" i="14"/>
  <c r="BA681" i="14"/>
  <c r="AY682" i="14"/>
  <c r="AZ682" i="14"/>
  <c r="BA682" i="14"/>
  <c r="AY683" i="14"/>
  <c r="AZ683" i="14"/>
  <c r="BA683" i="14"/>
  <c r="AY684" i="14"/>
  <c r="AZ684" i="14"/>
  <c r="BA684" i="14"/>
  <c r="AY685" i="14"/>
  <c r="AZ685" i="14"/>
  <c r="BA685" i="14"/>
  <c r="AY686" i="14"/>
  <c r="AZ686" i="14"/>
  <c r="BA686" i="14"/>
  <c r="AY687" i="14"/>
  <c r="AZ687" i="14"/>
  <c r="BA687" i="14"/>
  <c r="AY688" i="14"/>
  <c r="AZ688" i="14"/>
  <c r="BA688" i="14"/>
  <c r="AY689" i="14"/>
  <c r="AZ689" i="14"/>
  <c r="BA689" i="14"/>
  <c r="AY690" i="14"/>
  <c r="AZ690" i="14"/>
  <c r="BA690" i="14"/>
  <c r="AY691" i="14"/>
  <c r="AZ691" i="14"/>
  <c r="BA691" i="14"/>
  <c r="AY692" i="14"/>
  <c r="AZ692" i="14"/>
  <c r="BA692" i="14"/>
  <c r="AY693" i="14"/>
  <c r="AZ693" i="14"/>
  <c r="BA693" i="14"/>
  <c r="AY694" i="14"/>
  <c r="AZ694" i="14"/>
  <c r="BA694" i="14"/>
  <c r="AY695" i="14"/>
  <c r="AZ695" i="14"/>
  <c r="BA695" i="14"/>
  <c r="AY696" i="14"/>
  <c r="AZ696" i="14"/>
  <c r="BA696" i="14"/>
  <c r="AY697" i="14"/>
  <c r="AZ697" i="14"/>
  <c r="BA697" i="14"/>
  <c r="AY698" i="14"/>
  <c r="AZ698" i="14"/>
  <c r="BA698" i="14"/>
  <c r="AY699" i="14"/>
  <c r="AZ699" i="14"/>
  <c r="BA699" i="14"/>
  <c r="AY700" i="14"/>
  <c r="AZ700" i="14"/>
  <c r="BA700" i="14"/>
  <c r="AY701" i="14"/>
  <c r="AZ701" i="14"/>
  <c r="BA701" i="14"/>
  <c r="AY702" i="14"/>
  <c r="AZ702" i="14"/>
  <c r="BA702" i="14"/>
  <c r="AY703" i="14"/>
  <c r="AZ703" i="14"/>
  <c r="BA703" i="14"/>
  <c r="AY704" i="14"/>
  <c r="AZ704" i="14"/>
  <c r="BA704" i="14"/>
  <c r="AY705" i="14"/>
  <c r="AZ705" i="14"/>
  <c r="BA705" i="14"/>
  <c r="AY706" i="14"/>
  <c r="AZ706" i="14"/>
  <c r="BA706" i="14"/>
  <c r="BA333" i="14" l="1"/>
  <c r="BC333" i="14" s="1"/>
  <c r="BA242" i="14"/>
  <c r="BC242" i="14" s="1"/>
  <c r="AO256" i="14"/>
  <c r="BA187" i="14"/>
  <c r="BC187" i="14" s="1"/>
  <c r="BA189" i="14"/>
  <c r="BC189" i="14" s="1"/>
  <c r="BA234" i="14"/>
  <c r="BC234" i="14" s="1"/>
  <c r="BA270" i="14"/>
  <c r="BC270" i="14" s="1"/>
  <c r="BA190" i="14"/>
  <c r="BC190" i="14" s="1"/>
  <c r="BA295" i="14"/>
  <c r="BC295" i="14" s="1"/>
  <c r="BA335" i="14"/>
  <c r="BC335" i="14" s="1"/>
  <c r="BA233" i="14"/>
  <c r="BC233" i="14" s="1"/>
  <c r="BA232" i="14"/>
  <c r="BC232" i="14" s="1"/>
  <c r="I148" i="14"/>
  <c r="N148" i="14"/>
  <c r="P148" i="14"/>
  <c r="O148" i="14"/>
  <c r="K148" i="14"/>
  <c r="BA256" i="14"/>
  <c r="BC256" i="14" s="1"/>
  <c r="K194" i="14"/>
  <c r="R194" i="14"/>
  <c r="S194" i="14"/>
  <c r="BA325" i="14" l="1"/>
  <c r="BC325" i="14" s="1"/>
  <c r="BA336" i="14"/>
  <c r="BC336" i="14" s="1"/>
  <c r="BA236" i="14"/>
  <c r="BC236" i="14" s="1"/>
  <c r="BA274" i="14"/>
  <c r="BC274" i="14" s="1"/>
  <c r="BA192" i="14"/>
  <c r="BC192" i="14" s="1"/>
  <c r="BA334" i="14"/>
  <c r="BC334" i="14" s="1"/>
  <c r="S148" i="14"/>
  <c r="P194" i="14"/>
  <c r="Q194" i="14"/>
  <c r="M148" i="14"/>
  <c r="T148" i="14"/>
  <c r="J194" i="14"/>
  <c r="L148" i="14"/>
  <c r="N194" i="14"/>
  <c r="M194" i="14"/>
  <c r="T194" i="14"/>
  <c r="I194" i="14"/>
  <c r="O194" i="14"/>
  <c r="J148" i="14"/>
  <c r="L194" i="14"/>
  <c r="BA338" i="14" l="1"/>
  <c r="BC338" i="14" s="1"/>
  <c r="BA331" i="14"/>
  <c r="BC331" i="14" s="1"/>
  <c r="R148" i="14"/>
  <c r="Q148" i="14"/>
  <c r="BA259" i="14"/>
  <c r="BC259" i="14" s="1"/>
  <c r="AU261" i="14"/>
  <c r="AZ261" i="14" s="1"/>
  <c r="AY259" i="14"/>
  <c r="AZ259" i="14"/>
  <c r="BA261" i="14" l="1"/>
  <c r="BC261" i="14" s="1"/>
  <c r="AY261" i="14"/>
</calcChain>
</file>

<file path=xl/sharedStrings.xml><?xml version="1.0" encoding="utf-8"?>
<sst xmlns="http://schemas.openxmlformats.org/spreadsheetml/2006/main" count="1295" uniqueCount="445">
  <si>
    <t>UNIVERSITY OF MISSOURI-ST. LOUIS</t>
  </si>
  <si>
    <t>TABLE 3-1. DEGREES &amp; CERTIFICATES AWARDED BY DEPARTMENT</t>
  </si>
  <si>
    <t xml:space="preserve">  Change in FY22</t>
  </si>
  <si>
    <t xml:space="preserve">SCHOOL/COLLEGE                          </t>
  </si>
  <si>
    <t>FY</t>
  </si>
  <si>
    <t>Average</t>
  </si>
  <si>
    <t xml:space="preserve">  relative to the</t>
  </si>
  <si>
    <t xml:space="preserve">  DEPT-</t>
  </si>
  <si>
    <t>PROGRAM</t>
  </si>
  <si>
    <t>DEGREE</t>
  </si>
  <si>
    <t>FY78</t>
  </si>
  <si>
    <t>3-Year</t>
  </si>
  <si>
    <t>5-Year</t>
  </si>
  <si>
    <t>10-Year</t>
  </si>
  <si>
    <t xml:space="preserve">  10-Year Avg.</t>
  </si>
  <si>
    <t>ARTS AND SCIENCES, COLLEGE OF</t>
  </si>
  <si>
    <t xml:space="preserve">  INTDEP-</t>
  </si>
  <si>
    <t>Biochemistry &amp; Biotechnology</t>
  </si>
  <si>
    <t>BS (38)</t>
  </si>
  <si>
    <t>MS (38)</t>
  </si>
  <si>
    <t>Evolutionary Studies</t>
  </si>
  <si>
    <t>U CT (61)</t>
  </si>
  <si>
    <t>N/A</t>
  </si>
  <si>
    <t>Gender Studies</t>
  </si>
  <si>
    <t>U CT (57)</t>
  </si>
  <si>
    <t>Interdisciplinary Studies (43)</t>
  </si>
  <si>
    <t>BIS (43)</t>
  </si>
  <si>
    <t>Liberal Studies</t>
  </si>
  <si>
    <t>BLS (40)</t>
  </si>
  <si>
    <t>-</t>
  </si>
  <si>
    <t>Neuroscience</t>
  </si>
  <si>
    <t>Women's Leadership</t>
  </si>
  <si>
    <t xml:space="preserve">  ANTHRO-</t>
  </si>
  <si>
    <t>Anthropology</t>
  </si>
  <si>
    <t>BA</t>
  </si>
  <si>
    <t>Ethnicity,Migration,&amp;Human Diversity</t>
  </si>
  <si>
    <t>U CT (73)</t>
  </si>
  <si>
    <t xml:space="preserve">  ART-AH-</t>
  </si>
  <si>
    <t>Art History (30) (72)</t>
  </si>
  <si>
    <t>Studio Art (30) (72)</t>
  </si>
  <si>
    <t>BFA (15)</t>
  </si>
  <si>
    <t xml:space="preserve">  BIOL-</t>
  </si>
  <si>
    <t>Biology</t>
  </si>
  <si>
    <t>BA,BS</t>
  </si>
  <si>
    <t>MS</t>
  </si>
  <si>
    <t>PHD (4)</t>
  </si>
  <si>
    <t>Biotechnology (54)</t>
  </si>
  <si>
    <t>GR CT (16)</t>
  </si>
  <si>
    <t>Environmental Sciences</t>
  </si>
  <si>
    <t>PHD</t>
  </si>
  <si>
    <t>Plant Sciences</t>
  </si>
  <si>
    <t>Global Biodiversity Consrv. &amp; Ldrs.(77)</t>
  </si>
  <si>
    <t>GR CT (15)</t>
  </si>
  <si>
    <t xml:space="preserve">  CH&amp;BIO-</t>
  </si>
  <si>
    <t>Chemistry</t>
  </si>
  <si>
    <t xml:space="preserve">  COM&amp;MED-</t>
  </si>
  <si>
    <t>Communication (7) (30) (72)</t>
  </si>
  <si>
    <t>MA (27)</t>
  </si>
  <si>
    <t>Health Communication</t>
  </si>
  <si>
    <t>U CT (71)</t>
  </si>
  <si>
    <t>Media Production</t>
  </si>
  <si>
    <t>U CT (68)</t>
  </si>
  <si>
    <t>Media Studies (72)</t>
  </si>
  <si>
    <t>BS (46)</t>
  </si>
  <si>
    <t>Public Relations</t>
  </si>
  <si>
    <t>U CT (85)</t>
  </si>
  <si>
    <t xml:space="preserve">  COMP SC-</t>
  </si>
  <si>
    <t>Artificial Intelligence</t>
  </si>
  <si>
    <t>GR CT (83)</t>
  </si>
  <si>
    <t>Computer Programming</t>
  </si>
  <si>
    <t>U CT (77)</t>
  </si>
  <si>
    <t>Computer Science</t>
  </si>
  <si>
    <t>BS</t>
  </si>
  <si>
    <t>Computing Technology</t>
  </si>
  <si>
    <t>BS (81)</t>
  </si>
  <si>
    <t>Cybersecurity</t>
  </si>
  <si>
    <t>U CT (69)</t>
  </si>
  <si>
    <t>MS (81)</t>
  </si>
  <si>
    <t>Data Science</t>
  </si>
  <si>
    <t>GR CT (87)</t>
  </si>
  <si>
    <t>Internet &amp; Web</t>
  </si>
  <si>
    <t>Mobile &amp; Ubiquitous Computing</t>
  </si>
  <si>
    <t>Mobile Applications</t>
  </si>
  <si>
    <t>GR CT (85)</t>
  </si>
  <si>
    <t xml:space="preserve">  CR JUS-</t>
  </si>
  <si>
    <t>Criminology &amp; Crmnl. Just. (9)</t>
  </si>
  <si>
    <t>U CT (67)</t>
  </si>
  <si>
    <t>MA (3)</t>
  </si>
  <si>
    <t>PHD (16)</t>
  </si>
  <si>
    <t xml:space="preserve">  ECONOM-</t>
  </si>
  <si>
    <t>Actuarial Science</t>
  </si>
  <si>
    <t>U CT (81)</t>
  </si>
  <si>
    <t>BS (76)</t>
  </si>
  <si>
    <t>Applied Econometrics &amp; Data Analysis</t>
  </si>
  <si>
    <t>U CT (64)</t>
  </si>
  <si>
    <t>Economics</t>
  </si>
  <si>
    <t>MA</t>
  </si>
  <si>
    <t xml:space="preserve">  ENGLISH-</t>
  </si>
  <si>
    <t>Creative Writing</t>
  </si>
  <si>
    <t>U CT (87)</t>
  </si>
  <si>
    <t>MFA (17)</t>
  </si>
  <si>
    <t>English</t>
  </si>
  <si>
    <t>Professional Writing</t>
  </si>
  <si>
    <t>Teaching of Writing</t>
  </si>
  <si>
    <t>GR CT (34)</t>
  </si>
  <si>
    <t>Technical Writing</t>
  </si>
  <si>
    <t>French</t>
  </si>
  <si>
    <t>BA (58)</t>
  </si>
  <si>
    <t>German</t>
  </si>
  <si>
    <t>Modern Languages</t>
  </si>
  <si>
    <t>BA (56)</t>
  </si>
  <si>
    <t xml:space="preserve">Spanish </t>
  </si>
  <si>
    <t xml:space="preserve">  HIST-</t>
  </si>
  <si>
    <t>History</t>
  </si>
  <si>
    <t>Museum Studies</t>
  </si>
  <si>
    <t>GR CT (26) (74)</t>
  </si>
  <si>
    <t>Public History &amp; Cultural Heritage</t>
  </si>
  <si>
    <t>GR CT (64) (74)</t>
  </si>
  <si>
    <t xml:space="preserve">  MIL&amp;VET-</t>
  </si>
  <si>
    <t>Veteran Studies</t>
  </si>
  <si>
    <t>Actuarial Studies</t>
  </si>
  <si>
    <t>Applied Mathematics</t>
  </si>
  <si>
    <t>PHD (17)</t>
  </si>
  <si>
    <t>Mathematics</t>
  </si>
  <si>
    <t>BA,BS (36)</t>
  </si>
  <si>
    <t xml:space="preserve">  MUSIC-</t>
  </si>
  <si>
    <t>Music (30) (72)</t>
  </si>
  <si>
    <t>BA,BM</t>
  </si>
  <si>
    <t>Music Education (30) (72)</t>
  </si>
  <si>
    <t>BM (53)</t>
  </si>
  <si>
    <t>MME (14)</t>
  </si>
  <si>
    <t xml:space="preserve">  PHIL-</t>
  </si>
  <si>
    <t>Philosophy</t>
  </si>
  <si>
    <t xml:space="preserve">  POL SC-</t>
  </si>
  <si>
    <t>International Relations</t>
  </si>
  <si>
    <t>Political Science</t>
  </si>
  <si>
    <t>PHD (1)</t>
  </si>
  <si>
    <t>Public Policy &amp; Administration</t>
  </si>
  <si>
    <t>BSPPA</t>
  </si>
  <si>
    <t xml:space="preserve">  PS AST-</t>
  </si>
  <si>
    <t>Physics</t>
  </si>
  <si>
    <t>PHD (5)</t>
  </si>
  <si>
    <t xml:space="preserve">  PSYCH-</t>
  </si>
  <si>
    <t>Child Advocacy Studies</t>
  </si>
  <si>
    <t>U CT (65)</t>
  </si>
  <si>
    <t>Psychology</t>
  </si>
  <si>
    <t>Psych.-Clinical Respecial.</t>
  </si>
  <si>
    <t>Trauma Studies</t>
  </si>
  <si>
    <t>GR CT (33)</t>
  </si>
  <si>
    <t>Workplace &amp; Organizational Science</t>
  </si>
  <si>
    <t>U CT</t>
  </si>
  <si>
    <t xml:space="preserve">  SOCIOL-</t>
  </si>
  <si>
    <t>Sociology</t>
  </si>
  <si>
    <t>MA (58)</t>
  </si>
  <si>
    <t xml:space="preserve"> TDMS-</t>
  </si>
  <si>
    <t>Film Studies (72)</t>
  </si>
  <si>
    <t>U CT (55)</t>
  </si>
  <si>
    <t>Theater Arts (41) (67) (72)</t>
  </si>
  <si>
    <t xml:space="preserve">  TOTAL-All Programs</t>
  </si>
  <si>
    <t>U-Grad. Certif.</t>
  </si>
  <si>
    <t>Bachelors</t>
  </si>
  <si>
    <t>Grad. Certif.</t>
  </si>
  <si>
    <t>Masters</t>
  </si>
  <si>
    <t>Doctorate</t>
  </si>
  <si>
    <t>TOTAL-Arts and Sciences</t>
  </si>
  <si>
    <t>All</t>
  </si>
  <si>
    <t>BUSINESS ADMINISTRATION, COLLEGE OF</t>
  </si>
  <si>
    <t xml:space="preserve">  BUS AD-</t>
  </si>
  <si>
    <t>Accounting</t>
  </si>
  <si>
    <t>BSAcc (18)</t>
  </si>
  <si>
    <t>MAcc</t>
  </si>
  <si>
    <t>Business Administration</t>
  </si>
  <si>
    <t>BSBA</t>
  </si>
  <si>
    <t>GR CT</t>
  </si>
  <si>
    <t>MBA</t>
  </si>
  <si>
    <t>PHD (31)</t>
  </si>
  <si>
    <t>Business Intelligence</t>
  </si>
  <si>
    <t>GR CT (61)</t>
  </si>
  <si>
    <t>Digital and Social Media Marketing</t>
  </si>
  <si>
    <t>GR CT (65)</t>
  </si>
  <si>
    <t>Information Sys. &amp; Technology (45)</t>
  </si>
  <si>
    <t>BSIS,BSMIS(24)</t>
  </si>
  <si>
    <t>Interdisciplinary Entrepreneurship</t>
  </si>
  <si>
    <t>Internet and Web</t>
  </si>
  <si>
    <t>Logistics and Supply Chain Management</t>
  </si>
  <si>
    <t>Marketing Management</t>
  </si>
  <si>
    <t>Grad. Certificate Programs (29)</t>
  </si>
  <si>
    <t xml:space="preserve"> </t>
  </si>
  <si>
    <t>TOTAL-Business Administration</t>
  </si>
  <si>
    <t>EDUCATION, COLLEGE OF</t>
  </si>
  <si>
    <t xml:space="preserve">  INTDEP- (28)</t>
  </si>
  <si>
    <t>Education</t>
  </si>
  <si>
    <t>EDD,PHD (22)</t>
  </si>
  <si>
    <t>Social Justice in Education</t>
  </si>
  <si>
    <t>GR CT (68)</t>
  </si>
  <si>
    <t>Counseling</t>
  </si>
  <si>
    <t>MED</t>
  </si>
  <si>
    <t>Adult &amp; Higher Education</t>
  </si>
  <si>
    <t>MED (40)</t>
  </si>
  <si>
    <t>Educational Administration</t>
  </si>
  <si>
    <t>EDSP (40)</t>
  </si>
  <si>
    <t>Institutional Research</t>
  </si>
  <si>
    <t>GR CT (35)</t>
  </si>
  <si>
    <t>Student Affairs Adm. &amp; Leadership</t>
  </si>
  <si>
    <t>GR CT (63)</t>
  </si>
  <si>
    <t>Educational Psychology</t>
  </si>
  <si>
    <t>MED (62)</t>
  </si>
  <si>
    <t>Program Evaluation &amp; Assessment</t>
  </si>
  <si>
    <t>GR CT (39)</t>
  </si>
  <si>
    <t>School Psychology</t>
  </si>
  <si>
    <t>GR CT (35) (49)</t>
  </si>
  <si>
    <t>Applied Behavior Analysis</t>
  </si>
  <si>
    <t>Autism Studies</t>
  </si>
  <si>
    <t>GR CT (51)</t>
  </si>
  <si>
    <t>Early Childhood Education</t>
  </si>
  <si>
    <t>BSED</t>
  </si>
  <si>
    <t>Early Childhood Teaching</t>
  </si>
  <si>
    <t>Educational Studies</t>
  </si>
  <si>
    <t>BES (32)</t>
  </si>
  <si>
    <t>Elementary Education</t>
  </si>
  <si>
    <t>Elementary School Teaching</t>
  </si>
  <si>
    <t>Physical Education</t>
  </si>
  <si>
    <t>Secondary Education</t>
  </si>
  <si>
    <t>Secondary School Teaching</t>
  </si>
  <si>
    <t>GR CT (48)</t>
  </si>
  <si>
    <t>Special Education</t>
  </si>
  <si>
    <t>BSED (74)</t>
  </si>
  <si>
    <t>Teaching English</t>
  </si>
  <si>
    <t>Ed. Specialist</t>
  </si>
  <si>
    <t>TOTAL-Education</t>
  </si>
  <si>
    <t>NURSING, COLLEGE OF</t>
  </si>
  <si>
    <t xml:space="preserve">  NURSE- (12)</t>
  </si>
  <si>
    <t>Health Sciences</t>
  </si>
  <si>
    <t>BHS (20)</t>
  </si>
  <si>
    <t>Nursing</t>
  </si>
  <si>
    <t>BSN</t>
  </si>
  <si>
    <t xml:space="preserve">           </t>
  </si>
  <si>
    <t>MSN (6)</t>
  </si>
  <si>
    <t>DNP</t>
  </si>
  <si>
    <t>PHD (11)</t>
  </si>
  <si>
    <t>Post-Grad. Adult-Geriatric Nurse Practitioner</t>
  </si>
  <si>
    <t>GR CT (37)</t>
  </si>
  <si>
    <t>Post-Grad. Family Nurse Practitioner</t>
  </si>
  <si>
    <t>Post-Grad. Nurse Educator</t>
  </si>
  <si>
    <t>GR CT (66)</t>
  </si>
  <si>
    <t>Post-Grad. Pediatric Nurse Practitioner</t>
  </si>
  <si>
    <t>Post-Grad. Psychiatric Nurse Practitioner</t>
  </si>
  <si>
    <t>Post-Grad. Women's Health Nurse Practitioner</t>
  </si>
  <si>
    <t>Post-MSN Nurse Pract.(52)(66)(70)</t>
  </si>
  <si>
    <t>TOTAL-Nursing</t>
  </si>
  <si>
    <t>OPTOMETRY, COLLEGE OF</t>
  </si>
  <si>
    <t xml:space="preserve">  OPTOM-</t>
  </si>
  <si>
    <t>Optometry</t>
  </si>
  <si>
    <t>OD</t>
  </si>
  <si>
    <t>Vision Science (50)</t>
  </si>
  <si>
    <t>MS (8)</t>
  </si>
  <si>
    <t>PHD (8)</t>
  </si>
  <si>
    <t>First Profes.</t>
  </si>
  <si>
    <t>TOTAL-Optometry</t>
  </si>
  <si>
    <t>SOCIAL WORK, SCHOOL OF</t>
  </si>
  <si>
    <t xml:space="preserve">  SOC WK-</t>
  </si>
  <si>
    <t>Social Work (68)(69)</t>
  </si>
  <si>
    <t>BSW</t>
  </si>
  <si>
    <t>MSW (25)</t>
  </si>
  <si>
    <t>Gerontology (47)</t>
  </si>
  <si>
    <t>MS (2)</t>
  </si>
  <si>
    <t>Long Term Care Admin. (47) (60)</t>
  </si>
  <si>
    <t>TOTAL-Social Work</t>
  </si>
  <si>
    <t>ENGINEERING PROGRAM</t>
  </si>
  <si>
    <t xml:space="preserve">  W/SJEP</t>
  </si>
  <si>
    <t>Civil Engineering</t>
  </si>
  <si>
    <t>BSCIE (13)</t>
  </si>
  <si>
    <t>Electrical Engineering</t>
  </si>
  <si>
    <t>BSEE (10)</t>
  </si>
  <si>
    <t>Mechanical Engineering</t>
  </si>
  <si>
    <t>BSME (10)</t>
  </si>
  <si>
    <t>TOTAL-Engineering Program</t>
  </si>
  <si>
    <t>EVENING COLLEGE</t>
  </si>
  <si>
    <t xml:space="preserve">  EVE CO- (42)</t>
  </si>
  <si>
    <t>General Studies (43)</t>
  </si>
  <si>
    <t>BGS (43)</t>
  </si>
  <si>
    <t>TOTAL-Evening</t>
  </si>
  <si>
    <t>GRADUATE SCHOOL</t>
  </si>
  <si>
    <t>Gender Studies (21)</t>
  </si>
  <si>
    <t>International Studies</t>
  </si>
  <si>
    <t>Adv. Credit Prog. in Instr. Comm.</t>
  </si>
  <si>
    <t>GR CT (59)</t>
  </si>
  <si>
    <t xml:space="preserve">  GR GER-</t>
  </si>
  <si>
    <t>Local Government Management</t>
  </si>
  <si>
    <t>GR CT (44)</t>
  </si>
  <si>
    <t>Nonprofit Org. Mgmt. &amp; Leader.</t>
  </si>
  <si>
    <t>GR CT (19)</t>
  </si>
  <si>
    <t>Policy and Program Evaluation</t>
  </si>
  <si>
    <t>Public Policy Administration</t>
  </si>
  <si>
    <t>MPPA (23)</t>
  </si>
  <si>
    <t>TOTAL-Graduate</t>
  </si>
  <si>
    <t>UNIVERSITY OF MISSOURI - ST. LOUIS</t>
  </si>
  <si>
    <t>ALL DEPTS-All Programs</t>
  </si>
  <si>
    <t>TOTAL</t>
  </si>
  <si>
    <t>(1) Added 4/86</t>
  </si>
  <si>
    <t>(2) Added 3/87</t>
  </si>
  <si>
    <t>(3) Added 4/88</t>
  </si>
  <si>
    <t>(4) Added 6/88</t>
  </si>
  <si>
    <t>(5) Added 6/88 as co-op with UMR.</t>
  </si>
  <si>
    <t>(6) Added 2/89 as co-op with UMKC.</t>
  </si>
  <si>
    <t>(7) Changed from Speech Communication 8/89.</t>
  </si>
  <si>
    <t>(8) Added 9/90.  Inactive 4/13.</t>
  </si>
  <si>
    <t>(9) Changed from Administrative Justice 12/91.</t>
  </si>
  <si>
    <t>(10) Added 1/93 as co-op with Washington Univ.</t>
  </si>
  <si>
    <t>(11) Added 3/93 as co-op with UMC and UMKC.</t>
  </si>
  <si>
    <t>(12) Barnes College of Nursing and School of Nursing merged 6/94.</t>
  </si>
  <si>
    <t>(13) Added 7/94 as co-op with Washington Univ.</t>
  </si>
  <si>
    <t>(14) Added 1/95</t>
  </si>
  <si>
    <t>(15) Added 6/95</t>
  </si>
  <si>
    <t>(16) Added 12/95</t>
  </si>
  <si>
    <t>(17) Added 3/97</t>
  </si>
  <si>
    <t>(18) Added 5/97</t>
  </si>
  <si>
    <t>(19) Added 9/97</t>
  </si>
  <si>
    <t>(20) Added 1/98.  Inactive 11/04.</t>
  </si>
  <si>
    <t>(21) Changed from Women's Studies 3/98. Changed from Women's and Gender Studies 4/12.</t>
  </si>
  <si>
    <t>(22) Added PHD 3/98.</t>
  </si>
  <si>
    <t>(23) Changed from BSPA Public Administration 3/98.</t>
  </si>
  <si>
    <t>(24) Added 6/98</t>
  </si>
  <si>
    <t>(25) Added 7/98 as coop with UMC and UMKC.</t>
  </si>
  <si>
    <t>(26) Added 9/99</t>
  </si>
  <si>
    <t>(27) Added 10/99</t>
  </si>
  <si>
    <t>(29) In FY00, all graduate certificate programs were combined for reporting purposes. Prior individually reported certificate programs were likewise combined.  In FY09 they where again separated.</t>
  </si>
  <si>
    <t>(30) Moved from Arts &amp; Sciences to Fine Arts &amp; Communication in FY02, FY03, FY04, FY05, FY06, FY07, FY08, &amp; FY09.</t>
  </si>
  <si>
    <t>(31) Added 3/01</t>
  </si>
  <si>
    <t>(32) Added 10/01</t>
  </si>
  <si>
    <t>(33) Added 8/02</t>
  </si>
  <si>
    <t>(34) Added 9/02</t>
  </si>
  <si>
    <t>(35) Added 3/03</t>
  </si>
  <si>
    <t>(36) Changed from BS Applied Mathematics 7/03.</t>
  </si>
  <si>
    <t>(37) Added 9/03</t>
  </si>
  <si>
    <t>(38) Added 1/04</t>
  </si>
  <si>
    <t>(39) Added 3/04</t>
  </si>
  <si>
    <t>(40) Added 9/04</t>
  </si>
  <si>
    <t>(41) Added 9/05</t>
  </si>
  <si>
    <t>(42) Administered under the Graduate School FY06.</t>
  </si>
  <si>
    <t>(43) Changed from BGS General Studies to BIS Interdisciplinary Studies 1/06.</t>
  </si>
  <si>
    <t>(44) Added 6/06</t>
  </si>
  <si>
    <t>(45) Changed from Management Information Systems 8/06.  Changed from Information Systems 6/19.</t>
  </si>
  <si>
    <t>(46) Added 1/07</t>
  </si>
  <si>
    <t>(47) Moved from Graduate School to Arts &amp; Sciences, Social Work Dept. in FY08.</t>
  </si>
  <si>
    <t>(48) Added 2/08</t>
  </si>
  <si>
    <t>(49) Inactive 2/08</t>
  </si>
  <si>
    <t>(50) Changed from Physiological Optics 5/08.</t>
  </si>
  <si>
    <t>(51) Added 4/10</t>
  </si>
  <si>
    <t>(52) Seperated into Adult-Geriatric Nurse Practitioner, Family Nurse Practitioner, Nurse Practitioner, Pediatric Nurse Practitioner, and Women's Health Nurse Practitioner 4/10.</t>
  </si>
  <si>
    <t>(53) Discontinued 3/11</t>
  </si>
  <si>
    <t>(54) Moved from Intedepartment in FY12.</t>
  </si>
  <si>
    <t>(55) Added 10/11</t>
  </si>
  <si>
    <t>(56) Added 2/12</t>
  </si>
  <si>
    <t>(57) Added 4/12</t>
  </si>
  <si>
    <t>(58) Inactive 4/12</t>
  </si>
  <si>
    <t>(59) Added 6/12</t>
  </si>
  <si>
    <t>(60) Discontinued 6/12</t>
  </si>
  <si>
    <t>(61) Added 9/12</t>
  </si>
  <si>
    <t>(62) Added 12/12</t>
  </si>
  <si>
    <t>(63) Added 4/13</t>
  </si>
  <si>
    <t>(64) Added 9/13</t>
  </si>
  <si>
    <t>(65) Added 9/14</t>
  </si>
  <si>
    <t>(66) Add Psychiatric-Mental Health Nurse Practitioner and Nurse Educator 2/15.</t>
  </si>
  <si>
    <t xml:space="preserve">  L&amp;CS-</t>
  </si>
  <si>
    <t xml:space="preserve">  MATH&amp;ST-</t>
  </si>
  <si>
    <t xml:space="preserve">Psychological Sciences </t>
  </si>
  <si>
    <t>U CT (96)</t>
  </si>
  <si>
    <t>Organizational Leadership</t>
  </si>
  <si>
    <t>BA (84)</t>
  </si>
  <si>
    <t>Accounting Data Analytics</t>
  </si>
  <si>
    <t>Accounting Data Security</t>
  </si>
  <si>
    <t>GR CT (77)</t>
  </si>
  <si>
    <t>Auditing</t>
  </si>
  <si>
    <t>Corporate Controllership</t>
  </si>
  <si>
    <t>Corporate Financial Reporting</t>
  </si>
  <si>
    <t>GRCT (87)</t>
  </si>
  <si>
    <t>ACCY-</t>
  </si>
  <si>
    <t>DBA (75)</t>
  </si>
  <si>
    <t>Business (100)</t>
  </si>
  <si>
    <t xml:space="preserve">  GL&amp;M</t>
  </si>
  <si>
    <t>Talent Management (89)</t>
  </si>
  <si>
    <t xml:space="preserve">  IS&amp;T-</t>
  </si>
  <si>
    <t>Post-Grad. Acute Care Pediatric Nurse Practitioner</t>
  </si>
  <si>
    <t>GR CT (71)</t>
  </si>
  <si>
    <t>Labor Studies</t>
  </si>
  <si>
    <t>MRK&amp;ENTR-</t>
  </si>
  <si>
    <t>SPL CHAIN-</t>
  </si>
  <si>
    <t>MS (82)</t>
  </si>
  <si>
    <t>Enterprise Systems Development</t>
  </si>
  <si>
    <t>TOTAL-All Programs</t>
  </si>
  <si>
    <t>ED PREP- (28)</t>
  </si>
  <si>
    <t>Multicultural &amp; Social Justice Counseling</t>
  </si>
  <si>
    <t>GR CT (93)</t>
  </si>
  <si>
    <t>Sport Management</t>
  </si>
  <si>
    <t>BS (84)</t>
  </si>
  <si>
    <t>Character and Citizenship Education</t>
  </si>
  <si>
    <t>GR CT (73)</t>
  </si>
  <si>
    <t xml:space="preserve">  ED SCI- (28)</t>
  </si>
  <si>
    <t>INTRA-</t>
  </si>
  <si>
    <t>EVE CO- (42)</t>
  </si>
  <si>
    <t>SOCIOL-</t>
  </si>
  <si>
    <t xml:space="preserve">IS&amp;T - </t>
  </si>
  <si>
    <t>COM&amp;MED-</t>
  </si>
  <si>
    <t>(28) Extensive reorganization affected placement of degrees to a small extent in FY99 and fully in FY00. There was further reorganization in FY20. See earlier reports for previous structures.</t>
  </si>
  <si>
    <t>(67) Added 6/15</t>
  </si>
  <si>
    <t>(68) Changed from Theatre and Dance 9/15.</t>
  </si>
  <si>
    <t>(69) Added 9/15</t>
  </si>
  <si>
    <t>(70) Moved from Arts &amp; Sciences to Social Work in FY16 &amp; FY17.</t>
  </si>
  <si>
    <t>(71) Added 9/16</t>
  </si>
  <si>
    <t>(72) Add Advanced Nursing Practice with Educator Functional Role and Acute Care Pediatric Nurse Practitioner 9/16.</t>
  </si>
  <si>
    <t>(73) Added 12/16</t>
  </si>
  <si>
    <t>(74) Moved from Fine Arts &amp; Communication to Arts &amp; Sciences in FY17.</t>
  </si>
  <si>
    <t>(75) Added 2/17</t>
  </si>
  <si>
    <t>(76) Added 12/17</t>
  </si>
  <si>
    <t>(77) Deleted 1/18</t>
  </si>
  <si>
    <t>(78) Added 2/18</t>
  </si>
  <si>
    <t>(79) Added 7/18</t>
  </si>
  <si>
    <t>(80) Changed from Tropical Biology and Conservation 7/18.</t>
  </si>
  <si>
    <t>(81) Added 6/19</t>
  </si>
  <si>
    <t>(82) Added 6/19</t>
  </si>
  <si>
    <t>(83) Added 8/19</t>
  </si>
  <si>
    <t>(84) Added 11/19</t>
  </si>
  <si>
    <t>(85) Added 3/20</t>
  </si>
  <si>
    <t>(86) Deleted 4/20</t>
  </si>
  <si>
    <t>(87) Added 8/20</t>
  </si>
  <si>
    <t>(88) Changed from Logistics and Supply Chain Management 8/20.</t>
  </si>
  <si>
    <t>(89) Changed from Human Resource Management 8/20.</t>
  </si>
  <si>
    <t>(90) Added 11/20</t>
  </si>
  <si>
    <t>(91) Deleted 2/21</t>
  </si>
  <si>
    <t>(92) Inactive 3/21</t>
  </si>
  <si>
    <t>(93) Added 5/21</t>
  </si>
  <si>
    <t>(94) Inactive 6/21</t>
  </si>
  <si>
    <t>(95) Moved from Graduate School to Arts &amp; Sciences in FY21.</t>
  </si>
  <si>
    <t>(96) Added 9/21</t>
  </si>
  <si>
    <t>(97) Deleted 3/22</t>
  </si>
  <si>
    <t>(98) Changed from Psychology 6/22.</t>
  </si>
  <si>
    <t>(99) Merger of Elementary Education and Secondary Education programs 6/22.</t>
  </si>
  <si>
    <t>(100) Changed from Business Administration 7/22</t>
  </si>
  <si>
    <t>(101) Deleted 7/22</t>
  </si>
  <si>
    <t>UM-IR/RS  8/22</t>
  </si>
  <si>
    <t>Info. Security Management &amp; Auditing</t>
  </si>
  <si>
    <t>MS (90)</t>
  </si>
  <si>
    <t xml:space="preserve">UNIVERSITY OF MISSOURI-ST. LOUIS </t>
  </si>
  <si>
    <t xml:space="preserve">TABLE 3-1. DEGREES &amp; CERTIFICATES AWARDED BY DEPARTMENT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</si>
</sst>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8"/>
      <name val="Times New Roman"/>
    </font>
    <font>
      <sz val="8"/>
      <name val="Times New Roman"/>
      <family val="1"/>
    </font>
    <font>
      <b/>
      <sz val="8"/>
      <name val="DUTCH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DUTCH"/>
      <family val="1"/>
    </font>
    <font>
      <sz val="12"/>
      <name val="Times New Roman"/>
      <family val="1"/>
    </font>
    <font>
      <b/>
      <sz val="12"/>
      <name val="DUTCH"/>
    </font>
    <font>
      <b/>
      <sz val="11"/>
      <name val="Times New Roman"/>
      <family val="1"/>
    </font>
    <font>
      <b/>
      <u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dotted">
        <color auto="1"/>
      </right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/>
    <xf numFmtId="9" fontId="1" fillId="0" borderId="0" xfId="0" applyNumberFormat="1" applyFont="1" applyAlignment="1">
      <alignment horizontal="right"/>
    </xf>
    <xf numFmtId="9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left"/>
    </xf>
    <xf numFmtId="3" fontId="0" fillId="0" borderId="0" xfId="0" applyNumberFormat="1"/>
    <xf numFmtId="0" fontId="1" fillId="0" borderId="3" xfId="0" applyFont="1" applyBorder="1"/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37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1" fontId="1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9" fontId="1" fillId="0" borderId="2" xfId="0" applyNumberFormat="1" applyFont="1" applyBorder="1"/>
    <xf numFmtId="0" fontId="1" fillId="0" borderId="2" xfId="0" applyFont="1" applyBorder="1"/>
    <xf numFmtId="9" fontId="1" fillId="0" borderId="2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0" xfId="0" applyFont="1" applyAlignment="1"/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9" fontId="1" fillId="0" borderId="0" xfId="0" applyNumberFormat="1" applyFont="1" applyBorder="1"/>
    <xf numFmtId="0" fontId="1" fillId="0" borderId="0" xfId="0" applyFont="1" applyFill="1"/>
    <xf numFmtId="164" fontId="1" fillId="0" borderId="2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9" fontId="1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9" fontId="1" fillId="0" borderId="0" xfId="0" applyNumberFormat="1" applyFont="1" applyFill="1" applyAlignment="1">
      <alignment horizontal="right"/>
    </xf>
    <xf numFmtId="0" fontId="1" fillId="0" borderId="2" xfId="0" applyFont="1" applyFill="1" applyBorder="1"/>
    <xf numFmtId="0" fontId="0" fillId="0" borderId="0" xfId="0" applyAlignment="1"/>
    <xf numFmtId="0" fontId="1" fillId="0" borderId="1" xfId="0" applyFont="1" applyBorder="1" applyAlignment="1"/>
    <xf numFmtId="0" fontId="3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1" fillId="0" borderId="0" xfId="0" applyFont="1" applyFill="1" applyAlignment="1"/>
    <xf numFmtId="0" fontId="8" fillId="0" borderId="0" xfId="0" applyFont="1" applyAlignment="1"/>
    <xf numFmtId="0" fontId="1" fillId="0" borderId="0" xfId="0" applyFont="1" applyAlignment="1"/>
    <xf numFmtId="0" fontId="4" fillId="0" borderId="0" xfId="0" applyFont="1"/>
    <xf numFmtId="3" fontId="1" fillId="0" borderId="0" xfId="0" applyNumberFormat="1" applyFont="1" applyFill="1"/>
    <xf numFmtId="1" fontId="1" fillId="0" borderId="0" xfId="0" applyNumberFormat="1" applyFont="1" applyFill="1"/>
    <xf numFmtId="0" fontId="3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3" xfId="0" applyFont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47625</xdr:rowOff>
    </xdr:from>
    <xdr:to>
      <xdr:col>2</xdr:col>
      <xdr:colOff>581025</xdr:colOff>
      <xdr:row>6</xdr:row>
      <xdr:rowOff>213954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0025"/>
          <a:ext cx="1257300" cy="764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CH706"/>
  <sheetViews>
    <sheetView showGridLines="0" tabSelected="1" defaultGridColor="0" colorId="22" zoomScale="142" zoomScaleNormal="142" zoomScaleSheetLayoutView="100" workbookViewId="0">
      <pane xSplit="4" ySplit="10" topLeftCell="E11" activePane="bottomRight" state="frozenSplit"/>
      <selection pane="topRight" sqref="A1:AH1"/>
      <selection pane="bottomLeft" sqref="A1:AH1"/>
      <selection pane="bottomRight" activeCell="AQ7" sqref="AQ7"/>
    </sheetView>
  </sheetViews>
  <sheetFormatPr defaultColWidth="9.875" defaultRowHeight="10.5"/>
  <cols>
    <col min="1" max="1" width="2.5" style="1" customWidth="1"/>
    <col min="2" max="2" width="15.875" style="36" customWidth="1"/>
    <col min="3" max="3" width="30.375" style="1" customWidth="1"/>
    <col min="4" max="4" width="15" style="1" customWidth="1"/>
    <col min="5" max="5" width="5.5" style="1" hidden="1" customWidth="1"/>
    <col min="6" max="22" width="5.375" style="1" hidden="1" customWidth="1"/>
    <col min="23" max="33" width="5.875" style="1" hidden="1" customWidth="1"/>
    <col min="34" max="35" width="6.25" style="1" hidden="1" customWidth="1"/>
    <col min="36" max="37" width="7.125" style="1" hidden="1" customWidth="1"/>
    <col min="38" max="38" width="6.25" style="1" hidden="1" customWidth="1"/>
    <col min="39" max="39" width="6.75" style="1" customWidth="1"/>
    <col min="40" max="41" width="7.875" style="1" customWidth="1"/>
    <col min="42" max="42" width="7.5" style="1" customWidth="1"/>
    <col min="43" max="43" width="7.25" style="1" customWidth="1"/>
    <col min="44" max="44" width="8.125" style="1" customWidth="1"/>
    <col min="45" max="45" width="7.5" style="1" customWidth="1"/>
    <col min="46" max="46" width="5.75" style="1" customWidth="1"/>
    <col min="47" max="49" width="6.375" style="1" bestFit="1" customWidth="1"/>
    <col min="50" max="50" width="1.875" style="1" customWidth="1"/>
    <col min="51" max="53" width="8.875" style="1" customWidth="1"/>
    <col min="54" max="54" width="1.875" style="1" customWidth="1"/>
    <col min="55" max="55" width="7.875" style="1" customWidth="1"/>
    <col min="56" max="56" width="6.875" style="1" customWidth="1"/>
    <col min="57" max="57" width="2.625" style="1" customWidth="1"/>
    <col min="58" max="16384" width="9.875" style="1"/>
  </cols>
  <sheetData>
    <row r="1" spans="2:86" ht="11" thickBot="1"/>
    <row r="2" spans="2:86" customFormat="1" ht="14.25" customHeight="1" thickTop="1">
      <c r="B2" s="47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2"/>
      <c r="AL2" s="12"/>
      <c r="AM2" s="61" t="s">
        <v>443</v>
      </c>
      <c r="AN2" s="61"/>
      <c r="AO2" s="61"/>
      <c r="AP2" s="61"/>
      <c r="AQ2" s="61"/>
      <c r="AR2" s="61"/>
      <c r="AS2" s="61"/>
      <c r="AT2" s="61"/>
      <c r="AU2" s="61"/>
      <c r="AV2" s="12"/>
      <c r="AW2" s="12"/>
      <c r="AX2" s="12"/>
      <c r="AY2" s="12"/>
      <c r="AZ2" s="12"/>
      <c r="BA2" s="12"/>
      <c r="BB2" s="12"/>
      <c r="BC2" s="12"/>
      <c r="BD2" s="12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</row>
    <row r="3" spans="2:86" customFormat="1" ht="11" customHeight="1">
      <c r="B3" s="4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3" t="s">
        <v>0</v>
      </c>
      <c r="AL3" s="1"/>
      <c r="AM3" s="7" t="s">
        <v>444</v>
      </c>
      <c r="AN3" s="7"/>
      <c r="AO3" s="7"/>
      <c r="AP3" s="7"/>
      <c r="AQ3" s="7"/>
      <c r="AR3" s="7"/>
      <c r="AS3" s="7"/>
      <c r="AT3" s="7"/>
      <c r="AU3" s="7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</row>
    <row r="4" spans="2:86" customFormat="1" ht="5.5" customHeight="1">
      <c r="B4" s="47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3" t="s">
        <v>1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2:86" customFormat="1" ht="4.5" customHeight="1" thickBot="1">
      <c r="B5" s="47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2:86" customFormat="1" ht="13" customHeight="1" thickTop="1">
      <c r="B6" s="47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</row>
    <row r="7" spans="2:86" ht="27" customHeight="1" thickBot="1">
      <c r="B7" s="4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6"/>
      <c r="AY7" s="2"/>
      <c r="AZ7" s="2"/>
      <c r="BA7" s="2"/>
      <c r="BB7" s="2"/>
      <c r="BC7" s="2"/>
      <c r="BD7" s="2"/>
    </row>
    <row r="8" spans="2:86" ht="15" customHeight="1" thickTop="1">
      <c r="AX8" s="7"/>
      <c r="BC8" s="18" t="s">
        <v>2</v>
      </c>
    </row>
    <row r="9" spans="2:86" s="7" customFormat="1" ht="12.5" customHeight="1">
      <c r="B9" s="49" t="s">
        <v>3</v>
      </c>
      <c r="E9" s="14" t="s">
        <v>4</v>
      </c>
      <c r="F9" s="14" t="s">
        <v>4</v>
      </c>
      <c r="G9" s="14" t="s">
        <v>4</v>
      </c>
      <c r="H9" s="14" t="s">
        <v>4</v>
      </c>
      <c r="I9" s="14" t="s">
        <v>4</v>
      </c>
      <c r="J9" s="14" t="s">
        <v>4</v>
      </c>
      <c r="K9" s="14" t="s">
        <v>4</v>
      </c>
      <c r="L9" s="14" t="s">
        <v>4</v>
      </c>
      <c r="M9" s="14" t="s">
        <v>4</v>
      </c>
      <c r="N9" s="14" t="s">
        <v>4</v>
      </c>
      <c r="O9" s="14" t="s">
        <v>4</v>
      </c>
      <c r="P9" s="14" t="s">
        <v>4</v>
      </c>
      <c r="Q9" s="14" t="s">
        <v>4</v>
      </c>
      <c r="R9" s="14" t="s">
        <v>4</v>
      </c>
      <c r="S9" s="14" t="s">
        <v>4</v>
      </c>
      <c r="T9" s="14" t="s">
        <v>4</v>
      </c>
      <c r="U9" s="14" t="s">
        <v>4</v>
      </c>
      <c r="V9" s="14" t="s">
        <v>4</v>
      </c>
      <c r="W9" s="15" t="s">
        <v>4</v>
      </c>
      <c r="X9" s="15" t="s">
        <v>4</v>
      </c>
      <c r="Y9" s="15" t="s">
        <v>4</v>
      </c>
      <c r="Z9" s="15" t="s">
        <v>4</v>
      </c>
      <c r="AA9" s="15" t="s">
        <v>4</v>
      </c>
      <c r="AB9" s="15" t="s">
        <v>4</v>
      </c>
      <c r="AC9" s="15" t="s">
        <v>4</v>
      </c>
      <c r="AD9" s="15" t="s">
        <v>4</v>
      </c>
      <c r="AE9" s="15" t="s">
        <v>4</v>
      </c>
      <c r="AF9" s="15" t="s">
        <v>4</v>
      </c>
      <c r="AG9" s="15" t="s">
        <v>4</v>
      </c>
      <c r="AH9" s="15" t="s">
        <v>4</v>
      </c>
      <c r="AI9" s="15" t="s">
        <v>4</v>
      </c>
      <c r="AJ9" s="15" t="s">
        <v>4</v>
      </c>
      <c r="AK9" s="15" t="s">
        <v>4</v>
      </c>
      <c r="AL9" s="15" t="s">
        <v>4</v>
      </c>
      <c r="AM9" s="15" t="s">
        <v>4</v>
      </c>
      <c r="AN9" s="15" t="s">
        <v>4</v>
      </c>
      <c r="AO9" s="15" t="s">
        <v>4</v>
      </c>
      <c r="AP9" s="15" t="s">
        <v>4</v>
      </c>
      <c r="AQ9" s="15" t="s">
        <v>4</v>
      </c>
      <c r="AR9" s="15" t="s">
        <v>4</v>
      </c>
      <c r="AS9" s="15" t="s">
        <v>4</v>
      </c>
      <c r="AT9" s="15" t="s">
        <v>4</v>
      </c>
      <c r="AU9" s="15" t="s">
        <v>4</v>
      </c>
      <c r="AV9" s="15" t="s">
        <v>4</v>
      </c>
      <c r="AW9" s="15" t="s">
        <v>4</v>
      </c>
      <c r="AX9" s="14"/>
      <c r="AY9" s="16"/>
      <c r="AZ9" s="17" t="s">
        <v>5</v>
      </c>
      <c r="BA9" s="15"/>
      <c r="BB9" s="15"/>
      <c r="BC9" s="18" t="s">
        <v>6</v>
      </c>
      <c r="BD9" s="19"/>
    </row>
    <row r="10" spans="2:86" s="7" customFormat="1" ht="17" customHeight="1">
      <c r="B10" s="49" t="s">
        <v>7</v>
      </c>
      <c r="C10" s="7" t="s">
        <v>8</v>
      </c>
      <c r="D10" s="7" t="s">
        <v>9</v>
      </c>
      <c r="E10" s="15" t="s">
        <v>10</v>
      </c>
      <c r="F10" s="14">
        <v>1979</v>
      </c>
      <c r="G10" s="14">
        <v>1980</v>
      </c>
      <c r="H10" s="14">
        <v>1981</v>
      </c>
      <c r="I10" s="14">
        <v>1982</v>
      </c>
      <c r="J10" s="14">
        <v>1983</v>
      </c>
      <c r="K10" s="14">
        <v>1984</v>
      </c>
      <c r="L10" s="14">
        <v>1985</v>
      </c>
      <c r="M10" s="14">
        <v>1986</v>
      </c>
      <c r="N10" s="14">
        <v>1987</v>
      </c>
      <c r="O10" s="14">
        <v>1988</v>
      </c>
      <c r="P10" s="14">
        <v>1989</v>
      </c>
      <c r="Q10" s="14">
        <v>1990</v>
      </c>
      <c r="R10" s="14">
        <v>1991</v>
      </c>
      <c r="S10" s="14">
        <v>1992</v>
      </c>
      <c r="T10" s="14">
        <v>1993</v>
      </c>
      <c r="U10" s="14">
        <v>1994</v>
      </c>
      <c r="V10" s="14">
        <v>1995</v>
      </c>
      <c r="W10" s="15">
        <v>1996</v>
      </c>
      <c r="X10" s="15">
        <v>1997</v>
      </c>
      <c r="Y10" s="15">
        <v>1998</v>
      </c>
      <c r="Z10" s="15">
        <v>1999</v>
      </c>
      <c r="AA10" s="15">
        <v>2000</v>
      </c>
      <c r="AB10" s="15">
        <v>2001</v>
      </c>
      <c r="AC10" s="15">
        <v>2002</v>
      </c>
      <c r="AD10" s="15">
        <v>2003</v>
      </c>
      <c r="AE10" s="15">
        <v>2004</v>
      </c>
      <c r="AF10" s="15">
        <v>2005</v>
      </c>
      <c r="AG10" s="15">
        <v>2006</v>
      </c>
      <c r="AH10" s="15">
        <v>2007</v>
      </c>
      <c r="AI10" s="15">
        <v>2008</v>
      </c>
      <c r="AJ10" s="15">
        <v>2009</v>
      </c>
      <c r="AK10" s="15">
        <v>2010</v>
      </c>
      <c r="AL10" s="15">
        <v>2011</v>
      </c>
      <c r="AM10" s="15">
        <v>2012</v>
      </c>
      <c r="AN10" s="15">
        <v>2013</v>
      </c>
      <c r="AO10" s="15">
        <v>2014</v>
      </c>
      <c r="AP10" s="15">
        <v>2015</v>
      </c>
      <c r="AQ10" s="15">
        <v>2016</v>
      </c>
      <c r="AR10" s="15">
        <v>2017</v>
      </c>
      <c r="AS10" s="15">
        <v>2018</v>
      </c>
      <c r="AT10" s="15">
        <v>2019</v>
      </c>
      <c r="AU10" s="15">
        <v>2020</v>
      </c>
      <c r="AV10" s="15">
        <v>2021</v>
      </c>
      <c r="AW10" s="15">
        <v>2022</v>
      </c>
      <c r="AX10" s="14"/>
      <c r="AY10" s="16" t="s">
        <v>11</v>
      </c>
      <c r="AZ10" s="15" t="s">
        <v>12</v>
      </c>
      <c r="BA10" s="15" t="s">
        <v>13</v>
      </c>
      <c r="BB10" s="15"/>
      <c r="BC10" s="18" t="s">
        <v>14</v>
      </c>
      <c r="BD10" s="19"/>
    </row>
    <row r="11" spans="2:86" ht="22.5" customHeight="1">
      <c r="B11" s="50" t="s">
        <v>15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20"/>
      <c r="BC11" s="20"/>
      <c r="BD11" s="20"/>
    </row>
    <row r="12" spans="2:86" ht="11.25" customHeight="1">
      <c r="B12" s="51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4" t="str">
        <f>IF(Y12&gt;0,IF(Y12&gt;0,(Y12-X12)/Y12,"&lt;10 cases"),"")</f>
        <v/>
      </c>
      <c r="AZ12" s="24" t="str">
        <f>IF(SUM(F12:Y12)&gt;0,SUM(F12:Y12),"")</f>
        <v/>
      </c>
    </row>
    <row r="13" spans="2:86" ht="11.25" customHeight="1">
      <c r="B13" s="36" t="s">
        <v>16</v>
      </c>
      <c r="C13" s="1" t="s">
        <v>17</v>
      </c>
      <c r="D13" s="1" t="s">
        <v>18</v>
      </c>
      <c r="I13" s="25"/>
      <c r="J13" s="25"/>
      <c r="K13" s="25"/>
      <c r="L13" s="25"/>
      <c r="M13" s="25"/>
      <c r="N13" s="25"/>
      <c r="O13" s="25"/>
      <c r="AF13" s="1">
        <v>0</v>
      </c>
      <c r="AG13" s="1">
        <v>2</v>
      </c>
      <c r="AH13" s="1">
        <v>11</v>
      </c>
      <c r="AI13" s="1">
        <v>19</v>
      </c>
      <c r="AJ13" s="1">
        <v>19</v>
      </c>
      <c r="AK13" s="1">
        <v>18</v>
      </c>
      <c r="AL13" s="1">
        <v>17</v>
      </c>
      <c r="AM13" s="1">
        <v>22</v>
      </c>
      <c r="AN13" s="1">
        <v>16</v>
      </c>
      <c r="AO13" s="1">
        <v>16</v>
      </c>
      <c r="AP13" s="1">
        <v>18</v>
      </c>
      <c r="AQ13" s="1">
        <v>35</v>
      </c>
      <c r="AR13" s="1">
        <v>42</v>
      </c>
      <c r="AS13" s="1">
        <v>30</v>
      </c>
      <c r="AT13" s="1">
        <v>25</v>
      </c>
      <c r="AU13" s="1">
        <v>37</v>
      </c>
      <c r="AV13" s="1">
        <v>29</v>
      </c>
      <c r="AW13" s="1">
        <v>21</v>
      </c>
      <c r="AY13" s="31">
        <f>IF(SUM(AU13:AW13)&gt;=0,AVERAGE(AU13:AW13),"")</f>
        <v>29</v>
      </c>
      <c r="AZ13" s="5">
        <f>IF(SUM(AS13:AW13)&gt;=0,AVERAGE(AS13:AW13),"")</f>
        <v>28.4</v>
      </c>
      <c r="BA13" s="5">
        <f>IF(SUM(AN13:AW13)&gt;=0,AVERAGE(AN13:AW13),"")</f>
        <v>26.9</v>
      </c>
      <c r="BB13" s="5"/>
      <c r="BC13" s="32">
        <f>(AW13-BA13)/BA13</f>
        <v>-0.21933085501858732</v>
      </c>
    </row>
    <row r="14" spans="2:86" ht="11.25" customHeight="1">
      <c r="D14" s="1" t="s">
        <v>19</v>
      </c>
      <c r="I14" s="25"/>
      <c r="J14" s="25"/>
      <c r="K14" s="25"/>
      <c r="L14" s="25"/>
      <c r="M14" s="25"/>
      <c r="N14" s="25"/>
      <c r="O14" s="25"/>
      <c r="AF14" s="1">
        <v>0</v>
      </c>
      <c r="AG14" s="1">
        <v>4</v>
      </c>
      <c r="AH14" s="1">
        <v>2</v>
      </c>
      <c r="AI14" s="1">
        <v>11</v>
      </c>
      <c r="AJ14" s="1">
        <v>10</v>
      </c>
      <c r="AK14" s="1">
        <v>17</v>
      </c>
      <c r="AL14" s="1">
        <v>18</v>
      </c>
      <c r="AM14" s="1">
        <v>11</v>
      </c>
      <c r="AN14" s="1">
        <v>19</v>
      </c>
      <c r="AO14" s="1">
        <v>7</v>
      </c>
      <c r="AP14" s="1">
        <v>4</v>
      </c>
      <c r="AQ14" s="1">
        <v>10</v>
      </c>
      <c r="AR14" s="1">
        <v>7</v>
      </c>
      <c r="AS14" s="1">
        <v>14</v>
      </c>
      <c r="AT14" s="1">
        <v>11</v>
      </c>
      <c r="AU14" s="1">
        <v>10</v>
      </c>
      <c r="AV14" s="1">
        <v>7</v>
      </c>
      <c r="AW14" s="1">
        <v>16</v>
      </c>
      <c r="AY14" s="31">
        <f>IF(SUM(AU14:AW14)&gt;=0,AVERAGE(AU14:AW14),"")</f>
        <v>11</v>
      </c>
      <c r="AZ14" s="5">
        <f>IF(SUM(AS14:AW14)&gt;=0,AVERAGE(AS14:AW14),"")</f>
        <v>11.6</v>
      </c>
      <c r="BA14" s="5">
        <f>IF(SUM(AN14:AW14)&gt;=0,AVERAGE(AN14:AW14),"")</f>
        <v>10.5</v>
      </c>
      <c r="BB14" s="5"/>
      <c r="BC14" s="32">
        <f>(AW14-BA14)/BA14</f>
        <v>0.52380952380952384</v>
      </c>
    </row>
    <row r="15" spans="2:86" ht="11.25" customHeight="1">
      <c r="C15" s="1" t="s">
        <v>20</v>
      </c>
      <c r="D15" s="1" t="s">
        <v>21</v>
      </c>
      <c r="I15" s="25"/>
      <c r="J15" s="25"/>
      <c r="K15" s="25"/>
      <c r="L15" s="25"/>
      <c r="M15" s="25"/>
      <c r="N15" s="25"/>
      <c r="O15" s="25"/>
      <c r="AN15" s="1">
        <v>0</v>
      </c>
      <c r="AO15" s="1">
        <v>0</v>
      </c>
      <c r="AP15" s="1">
        <v>1</v>
      </c>
      <c r="AQ15" s="1">
        <v>0</v>
      </c>
      <c r="AR15" s="1">
        <v>2</v>
      </c>
      <c r="AS15" s="1">
        <v>0</v>
      </c>
      <c r="AT15" s="1">
        <v>0</v>
      </c>
      <c r="AX15" s="25"/>
      <c r="AY15" s="31" t="s">
        <v>22</v>
      </c>
      <c r="AZ15" s="5" t="s">
        <v>22</v>
      </c>
      <c r="BA15" s="3" t="s">
        <v>22</v>
      </c>
      <c r="BC15" s="32"/>
    </row>
    <row r="17" spans="2:55" ht="11.25" customHeight="1">
      <c r="C17" s="1" t="s">
        <v>25</v>
      </c>
      <c r="D17" s="1" t="s">
        <v>26</v>
      </c>
      <c r="E17" s="22"/>
      <c r="F17" s="22"/>
      <c r="G17" s="22"/>
      <c r="H17" s="22"/>
      <c r="I17" s="22"/>
      <c r="J17" s="22"/>
      <c r="K17" s="22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>
        <v>6</v>
      </c>
      <c r="AI17" s="25">
        <v>8</v>
      </c>
      <c r="AJ17" s="25">
        <v>13</v>
      </c>
      <c r="AK17" s="25">
        <v>9</v>
      </c>
      <c r="AL17" s="25">
        <v>5</v>
      </c>
      <c r="AM17" s="25">
        <v>14</v>
      </c>
      <c r="AN17" s="25">
        <v>15</v>
      </c>
      <c r="AO17" s="25">
        <v>21</v>
      </c>
      <c r="AP17" s="25">
        <v>15</v>
      </c>
      <c r="AQ17" s="25">
        <v>7</v>
      </c>
      <c r="AR17" s="25">
        <v>13</v>
      </c>
      <c r="AS17" s="25">
        <v>3</v>
      </c>
      <c r="AT17" s="25">
        <v>7</v>
      </c>
      <c r="AU17" s="25">
        <v>2</v>
      </c>
      <c r="AV17" s="25">
        <v>2</v>
      </c>
      <c r="AW17" s="25">
        <v>1</v>
      </c>
      <c r="AX17" s="25"/>
      <c r="AY17" s="31">
        <f>IF(SUM(AU17:AW17)&gt;=0,AVERAGE(AU17:AW17),"")</f>
        <v>1.6666666666666667</v>
      </c>
      <c r="AZ17" s="5">
        <f t="shared" ref="AZ17:AZ19" si="0">IF(SUM(AS17:AW17)&gt;=0,AVERAGE(AS17:AW17),"")</f>
        <v>3</v>
      </c>
      <c r="BA17" s="5">
        <f>IF(SUM(AN17:AW17)&gt;=0,AVERAGE(AN17:AW17),"")</f>
        <v>8.6</v>
      </c>
      <c r="BB17" s="5"/>
      <c r="BC17" s="32">
        <f>(AW17-BA17)/BA17</f>
        <v>-0.88372093023255816</v>
      </c>
    </row>
    <row r="18" spans="2:55" ht="11.25" customHeight="1">
      <c r="C18" s="1" t="s">
        <v>27</v>
      </c>
      <c r="D18" s="1" t="s">
        <v>28</v>
      </c>
      <c r="E18" s="22"/>
      <c r="F18" s="22"/>
      <c r="G18" s="22"/>
      <c r="H18" s="22"/>
      <c r="I18" s="22"/>
      <c r="J18" s="22"/>
      <c r="K18" s="22"/>
      <c r="L18" s="25" t="s">
        <v>29</v>
      </c>
      <c r="M18" s="25" t="s">
        <v>29</v>
      </c>
      <c r="N18" s="25" t="s">
        <v>29</v>
      </c>
      <c r="O18" s="25" t="s">
        <v>29</v>
      </c>
      <c r="P18" s="25" t="s">
        <v>29</v>
      </c>
      <c r="Q18" s="25" t="s">
        <v>29</v>
      </c>
      <c r="R18" s="25" t="s">
        <v>29</v>
      </c>
      <c r="S18" s="25" t="s">
        <v>29</v>
      </c>
      <c r="T18" s="25" t="s">
        <v>29</v>
      </c>
      <c r="U18" s="25" t="s">
        <v>29</v>
      </c>
      <c r="V18" s="25" t="s">
        <v>29</v>
      </c>
      <c r="W18" s="25"/>
      <c r="X18" s="25"/>
      <c r="Y18" s="25"/>
      <c r="Z18" s="25"/>
      <c r="AA18" s="25"/>
      <c r="AB18" s="25"/>
      <c r="AC18" s="25"/>
      <c r="AD18" s="25"/>
      <c r="AE18" s="25"/>
      <c r="AF18" s="25">
        <v>2</v>
      </c>
      <c r="AG18" s="25">
        <v>34</v>
      </c>
      <c r="AH18" s="25">
        <v>67</v>
      </c>
      <c r="AI18" s="25">
        <v>69</v>
      </c>
      <c r="AJ18" s="25">
        <v>94</v>
      </c>
      <c r="AK18" s="25">
        <v>80</v>
      </c>
      <c r="AL18" s="25">
        <v>104</v>
      </c>
      <c r="AM18" s="25">
        <v>92</v>
      </c>
      <c r="AN18" s="25">
        <v>100</v>
      </c>
      <c r="AO18" s="25">
        <v>95</v>
      </c>
      <c r="AP18" s="25">
        <v>112</v>
      </c>
      <c r="AQ18" s="25">
        <v>128</v>
      </c>
      <c r="AR18" s="25">
        <v>105</v>
      </c>
      <c r="AS18" s="25">
        <v>101</v>
      </c>
      <c r="AT18" s="25">
        <v>92</v>
      </c>
      <c r="AU18" s="25">
        <v>97</v>
      </c>
      <c r="AV18" s="25">
        <v>102</v>
      </c>
      <c r="AW18" s="25">
        <v>69</v>
      </c>
      <c r="AX18" s="25"/>
      <c r="AY18" s="31">
        <f>IF(SUM(AU18:AW18)&gt;=0,AVERAGE(AU18:AW18),"")</f>
        <v>89.333333333333329</v>
      </c>
      <c r="AZ18" s="5">
        <f t="shared" si="0"/>
        <v>92.2</v>
      </c>
      <c r="BA18" s="5">
        <f>IF(SUM(AN18:AW18)&gt;=0,AVERAGE(AN18:AW18),"")</f>
        <v>100.1</v>
      </c>
      <c r="BB18" s="5"/>
      <c r="BC18" s="32">
        <f>(AW18-BA18)/BA18</f>
        <v>-0.31068931068931066</v>
      </c>
    </row>
    <row r="19" spans="2:55" ht="11.25" customHeight="1">
      <c r="C19" s="1" t="s">
        <v>30</v>
      </c>
      <c r="D19" s="1" t="s">
        <v>24</v>
      </c>
      <c r="E19" s="22"/>
      <c r="F19" s="22"/>
      <c r="G19" s="22"/>
      <c r="H19" s="22"/>
      <c r="I19" s="22"/>
      <c r="J19" s="22"/>
      <c r="K19" s="22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>
        <v>2</v>
      </c>
      <c r="AO19" s="25">
        <v>5</v>
      </c>
      <c r="AP19" s="25">
        <v>3</v>
      </c>
      <c r="AQ19" s="25">
        <v>4</v>
      </c>
      <c r="AR19" s="25">
        <v>10</v>
      </c>
      <c r="AS19" s="25">
        <v>7</v>
      </c>
      <c r="AT19" s="25">
        <v>10</v>
      </c>
      <c r="AU19" s="25">
        <v>9</v>
      </c>
      <c r="AV19" s="25">
        <v>9</v>
      </c>
      <c r="AW19" s="25">
        <v>12</v>
      </c>
      <c r="AX19" s="25"/>
      <c r="AY19" s="31">
        <f>IF(SUM(AU19:AW19)&gt;=0,AVERAGE(AU19:AW19),"")</f>
        <v>10</v>
      </c>
      <c r="AZ19" s="5">
        <f t="shared" si="0"/>
        <v>9.4</v>
      </c>
      <c r="BA19" s="5">
        <f>IF(SUM(AN19:AW19)&gt;=0,AVERAGE(AN19:AW19),"")</f>
        <v>7.1</v>
      </c>
      <c r="BB19" s="5"/>
      <c r="BC19" s="32">
        <f>(AW19-BA19)/BA19</f>
        <v>0.69014084507042261</v>
      </c>
    </row>
    <row r="20" spans="2:55" ht="11.25" customHeight="1">
      <c r="C20" s="1" t="s">
        <v>31</v>
      </c>
      <c r="D20" s="1" t="s">
        <v>21</v>
      </c>
      <c r="E20" s="22"/>
      <c r="F20" s="22"/>
      <c r="G20" s="22"/>
      <c r="H20" s="22"/>
      <c r="I20" s="22"/>
      <c r="J20" s="22"/>
      <c r="K20" s="22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>
        <v>0</v>
      </c>
      <c r="AO20" s="25">
        <v>1</v>
      </c>
      <c r="AP20" s="25">
        <v>3</v>
      </c>
      <c r="AQ20" s="25">
        <v>2</v>
      </c>
      <c r="AR20" s="25">
        <v>0</v>
      </c>
      <c r="AS20" s="25">
        <v>0</v>
      </c>
      <c r="AT20" s="25">
        <v>0</v>
      </c>
      <c r="AU20" s="25"/>
      <c r="AV20" s="25"/>
      <c r="AW20" s="25"/>
      <c r="AX20" s="25"/>
      <c r="AY20" s="31" t="s">
        <v>22</v>
      </c>
      <c r="AZ20" s="5" t="s">
        <v>22</v>
      </c>
      <c r="BA20" s="3" t="s">
        <v>22</v>
      </c>
      <c r="BC20" s="32"/>
    </row>
    <row r="21" spans="2:55" ht="11.25" customHeight="1">
      <c r="B21" s="51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4"/>
      <c r="AZ21" s="24"/>
    </row>
    <row r="22" spans="2:55" ht="11.25" customHeight="1">
      <c r="B22" s="36" t="s">
        <v>32</v>
      </c>
      <c r="C22" s="1" t="s">
        <v>33</v>
      </c>
      <c r="D22" s="1" t="s">
        <v>34</v>
      </c>
      <c r="E22" s="1">
        <v>3</v>
      </c>
      <c r="F22" s="1">
        <v>3</v>
      </c>
      <c r="G22" s="1">
        <v>5</v>
      </c>
      <c r="H22" s="1">
        <v>12</v>
      </c>
      <c r="I22" s="1">
        <v>4</v>
      </c>
      <c r="J22" s="1">
        <v>7</v>
      </c>
      <c r="K22" s="1">
        <v>9</v>
      </c>
      <c r="L22" s="1">
        <v>1</v>
      </c>
      <c r="M22" s="1">
        <v>3</v>
      </c>
      <c r="N22" s="1">
        <v>1</v>
      </c>
      <c r="O22" s="1">
        <v>8</v>
      </c>
      <c r="P22" s="1">
        <v>3</v>
      </c>
      <c r="Q22" s="1">
        <v>7</v>
      </c>
      <c r="R22" s="1">
        <v>4</v>
      </c>
      <c r="S22" s="1">
        <v>5</v>
      </c>
      <c r="T22" s="1">
        <v>4</v>
      </c>
      <c r="U22" s="1">
        <v>7</v>
      </c>
      <c r="V22" s="1">
        <v>3</v>
      </c>
      <c r="W22" s="1">
        <v>3</v>
      </c>
      <c r="X22" s="1">
        <v>11</v>
      </c>
      <c r="Y22" s="1">
        <v>18</v>
      </c>
      <c r="Z22" s="1">
        <v>13</v>
      </c>
      <c r="AA22" s="1">
        <v>11</v>
      </c>
      <c r="AB22" s="1">
        <v>15</v>
      </c>
      <c r="AC22" s="1">
        <v>13</v>
      </c>
      <c r="AD22" s="1">
        <v>12</v>
      </c>
      <c r="AE22" s="1">
        <v>16</v>
      </c>
      <c r="AF22" s="1">
        <v>13</v>
      </c>
      <c r="AG22" s="1">
        <v>19</v>
      </c>
      <c r="AH22" s="1">
        <v>26</v>
      </c>
      <c r="AI22" s="1">
        <v>16</v>
      </c>
      <c r="AJ22" s="1">
        <v>16</v>
      </c>
      <c r="AK22" s="1">
        <v>11</v>
      </c>
      <c r="AL22" s="1">
        <v>20</v>
      </c>
      <c r="AM22" s="1">
        <v>20</v>
      </c>
      <c r="AN22" s="1">
        <v>25</v>
      </c>
      <c r="AO22" s="1">
        <v>17</v>
      </c>
      <c r="AP22" s="1">
        <v>22</v>
      </c>
      <c r="AQ22" s="1">
        <v>26</v>
      </c>
      <c r="AR22" s="1">
        <v>13</v>
      </c>
      <c r="AS22" s="1">
        <v>13</v>
      </c>
      <c r="AT22" s="1">
        <v>16</v>
      </c>
      <c r="AU22" s="1">
        <v>15</v>
      </c>
      <c r="AV22" s="1">
        <v>16</v>
      </c>
      <c r="AW22" s="1">
        <v>10</v>
      </c>
      <c r="AY22" s="31">
        <f>IF(SUM(AU22:AW22)&gt;=0,AVERAGE(AU22:AW22),"")</f>
        <v>13.666666666666666</v>
      </c>
      <c r="AZ22" s="5" t="s">
        <v>22</v>
      </c>
      <c r="BA22" s="3" t="s">
        <v>22</v>
      </c>
      <c r="BB22" s="5"/>
      <c r="BC22" s="32"/>
    </row>
    <row r="23" spans="2:55" ht="11.25" customHeight="1">
      <c r="C23" s="1" t="s">
        <v>35</v>
      </c>
      <c r="D23" s="1" t="s">
        <v>36</v>
      </c>
      <c r="AU23" s="1">
        <v>0</v>
      </c>
      <c r="AV23" s="1">
        <v>1</v>
      </c>
      <c r="AW23" s="1">
        <v>0</v>
      </c>
      <c r="AY23" s="31">
        <f>IF(SUM(AU23:AW23)&gt;=0,AVERAGE(AU23:AW23),"")</f>
        <v>0.33333333333333331</v>
      </c>
      <c r="AZ23" s="5" t="s">
        <v>22</v>
      </c>
      <c r="BA23" s="3" t="s">
        <v>22</v>
      </c>
      <c r="BC23" s="32"/>
    </row>
    <row r="24" spans="2:55" ht="11.25" customHeight="1"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4"/>
      <c r="AZ24" s="4"/>
      <c r="BA24" s="4"/>
    </row>
    <row r="25" spans="2:55" ht="11.25" customHeight="1">
      <c r="B25" s="36" t="s">
        <v>37</v>
      </c>
      <c r="C25" s="1" t="s">
        <v>38</v>
      </c>
      <c r="D25" s="1" t="s">
        <v>34</v>
      </c>
      <c r="E25" s="1">
        <v>5</v>
      </c>
      <c r="F25" s="1">
        <v>6</v>
      </c>
      <c r="G25" s="1">
        <v>5</v>
      </c>
      <c r="H25" s="1">
        <v>7</v>
      </c>
      <c r="I25" s="1">
        <v>4</v>
      </c>
      <c r="J25" s="1">
        <v>3</v>
      </c>
      <c r="K25" s="1">
        <v>5</v>
      </c>
      <c r="L25" s="1">
        <v>2</v>
      </c>
      <c r="M25" s="1">
        <v>7</v>
      </c>
      <c r="N25" s="1">
        <v>7</v>
      </c>
      <c r="O25" s="1">
        <v>6</v>
      </c>
      <c r="P25" s="1">
        <v>6</v>
      </c>
      <c r="Q25" s="1">
        <v>9</v>
      </c>
      <c r="R25" s="1">
        <v>6</v>
      </c>
      <c r="S25" s="1">
        <v>4</v>
      </c>
      <c r="T25" s="1">
        <v>12</v>
      </c>
      <c r="U25" s="1">
        <v>5</v>
      </c>
      <c r="V25" s="1">
        <v>7</v>
      </c>
      <c r="W25" s="1">
        <v>7</v>
      </c>
      <c r="X25" s="1">
        <v>5</v>
      </c>
      <c r="Y25" s="1">
        <v>6</v>
      </c>
      <c r="Z25" s="1">
        <v>5</v>
      </c>
      <c r="AA25" s="1">
        <v>10</v>
      </c>
      <c r="AB25" s="1">
        <v>6</v>
      </c>
      <c r="AC25" s="1">
        <v>5</v>
      </c>
      <c r="AD25" s="1">
        <v>16</v>
      </c>
      <c r="AE25" s="1">
        <v>8</v>
      </c>
      <c r="AF25" s="1">
        <v>13</v>
      </c>
      <c r="AG25" s="1">
        <v>10</v>
      </c>
      <c r="AH25" s="1">
        <v>14</v>
      </c>
      <c r="AI25" s="1">
        <v>17</v>
      </c>
      <c r="AJ25" s="1">
        <v>11</v>
      </c>
      <c r="AK25" s="1">
        <v>21</v>
      </c>
      <c r="AL25" s="1">
        <v>16</v>
      </c>
      <c r="AM25" s="1">
        <v>10</v>
      </c>
      <c r="AN25" s="1">
        <v>15</v>
      </c>
      <c r="AO25" s="1">
        <v>9</v>
      </c>
      <c r="AP25" s="1">
        <v>6</v>
      </c>
      <c r="AQ25" s="1">
        <v>7</v>
      </c>
      <c r="AR25" s="25">
        <v>2</v>
      </c>
      <c r="AS25" s="25">
        <v>5</v>
      </c>
      <c r="AT25" s="25">
        <v>2</v>
      </c>
      <c r="AU25" s="25">
        <v>1</v>
      </c>
      <c r="AV25" s="25">
        <v>2</v>
      </c>
      <c r="AW25" s="25">
        <v>2</v>
      </c>
      <c r="AX25" s="25"/>
      <c r="AY25" s="31">
        <f>IF(SUM(AU25:AW25)&gt;=0,AVERAGE(AU25:AW25),"")</f>
        <v>1.6666666666666667</v>
      </c>
      <c r="AZ25" s="5">
        <f t="shared" ref="AZ25:AZ26" si="1">IF(SUM(AS25:AW25)&gt;=0,AVERAGE(AS25:AW25),"")</f>
        <v>2.4</v>
      </c>
      <c r="BA25" s="3" t="s">
        <v>22</v>
      </c>
      <c r="BC25" s="32"/>
    </row>
    <row r="26" spans="2:55" ht="11.25" customHeight="1">
      <c r="C26" s="1" t="s">
        <v>39</v>
      </c>
      <c r="D26" s="1" t="s">
        <v>40</v>
      </c>
      <c r="I26" s="25" t="s">
        <v>29</v>
      </c>
      <c r="J26" s="25" t="s">
        <v>29</v>
      </c>
      <c r="K26" s="25" t="s">
        <v>29</v>
      </c>
      <c r="L26" s="25" t="s">
        <v>29</v>
      </c>
      <c r="M26" s="25" t="s">
        <v>29</v>
      </c>
      <c r="N26" s="25" t="s">
        <v>29</v>
      </c>
      <c r="O26" s="25" t="s">
        <v>29</v>
      </c>
      <c r="P26" s="25" t="s">
        <v>29</v>
      </c>
      <c r="Q26" s="25" t="s">
        <v>29</v>
      </c>
      <c r="R26" s="25" t="s">
        <v>29</v>
      </c>
      <c r="S26" s="25" t="s">
        <v>29</v>
      </c>
      <c r="T26" s="25" t="s">
        <v>29</v>
      </c>
      <c r="U26" s="25" t="s">
        <v>29</v>
      </c>
      <c r="V26" s="25" t="s">
        <v>29</v>
      </c>
      <c r="W26" s="1">
        <v>0</v>
      </c>
      <c r="X26" s="1">
        <v>0</v>
      </c>
      <c r="Y26" s="1">
        <f>3+1+1+1</f>
        <v>6</v>
      </c>
      <c r="Z26" s="1">
        <f>8+6</f>
        <v>14</v>
      </c>
      <c r="AA26" s="1">
        <f>16+1</f>
        <v>17</v>
      </c>
      <c r="AB26" s="1">
        <f>30+4</f>
        <v>34</v>
      </c>
      <c r="AC26" s="1">
        <v>39</v>
      </c>
      <c r="AD26" s="1">
        <v>36</v>
      </c>
      <c r="AE26" s="1">
        <v>41</v>
      </c>
      <c r="AF26" s="1">
        <v>49</v>
      </c>
      <c r="AG26" s="1">
        <v>54</v>
      </c>
      <c r="AH26" s="1">
        <v>38</v>
      </c>
      <c r="AI26" s="1">
        <v>49</v>
      </c>
      <c r="AJ26" s="1">
        <v>42</v>
      </c>
      <c r="AK26" s="1">
        <v>47</v>
      </c>
      <c r="AL26" s="1">
        <v>53</v>
      </c>
      <c r="AM26" s="1">
        <v>46</v>
      </c>
      <c r="AN26" s="1">
        <v>44</v>
      </c>
      <c r="AO26" s="1">
        <v>47</v>
      </c>
      <c r="AP26" s="1">
        <v>57</v>
      </c>
      <c r="AQ26" s="1">
        <v>51</v>
      </c>
      <c r="AR26" s="25">
        <v>30</v>
      </c>
      <c r="AS26" s="25">
        <v>27</v>
      </c>
      <c r="AT26" s="25">
        <v>36</v>
      </c>
      <c r="AU26" s="25">
        <v>32</v>
      </c>
      <c r="AV26" s="25">
        <v>29</v>
      </c>
      <c r="AW26" s="25">
        <v>26</v>
      </c>
      <c r="AX26" s="25"/>
      <c r="AY26" s="31">
        <f>IF(SUM(AU26:AW26)&gt;=0,AVERAGE(AU26:AW26),"")</f>
        <v>29</v>
      </c>
      <c r="AZ26" s="5">
        <f t="shared" si="1"/>
        <v>30</v>
      </c>
      <c r="BA26" s="3" t="s">
        <v>22</v>
      </c>
      <c r="BC26" s="32"/>
    </row>
    <row r="27" spans="2:55" ht="11.25" customHeight="1"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3"/>
      <c r="AZ27" s="4"/>
      <c r="BA27" s="4"/>
    </row>
    <row r="28" spans="2:55" ht="11.25" customHeight="1">
      <c r="B28" s="36" t="s">
        <v>41</v>
      </c>
      <c r="C28" s="1" t="s">
        <v>42</v>
      </c>
      <c r="D28" s="1" t="s">
        <v>43</v>
      </c>
      <c r="E28" s="1">
        <v>48</v>
      </c>
      <c r="F28" s="1">
        <v>37</v>
      </c>
      <c r="G28" s="1">
        <v>40</v>
      </c>
      <c r="H28" s="1">
        <v>32</v>
      </c>
      <c r="I28" s="1">
        <v>29</v>
      </c>
      <c r="J28" s="1">
        <v>34</v>
      </c>
      <c r="K28" s="1">
        <v>23</v>
      </c>
      <c r="L28" s="1">
        <v>24</v>
      </c>
      <c r="M28" s="1">
        <v>27</v>
      </c>
      <c r="N28" s="1">
        <v>18</v>
      </c>
      <c r="O28" s="1">
        <v>18</v>
      </c>
      <c r="P28" s="1">
        <v>23</v>
      </c>
      <c r="Q28" s="1">
        <v>29</v>
      </c>
      <c r="R28" s="1">
        <v>22</v>
      </c>
      <c r="S28" s="1">
        <f>11+11</f>
        <v>22</v>
      </c>
      <c r="T28" s="1">
        <v>38</v>
      </c>
      <c r="U28" s="1">
        <v>36</v>
      </c>
      <c r="V28" s="1">
        <v>56</v>
      </c>
      <c r="W28" s="1">
        <v>57</v>
      </c>
      <c r="X28" s="1">
        <f>18+44+1</f>
        <v>63</v>
      </c>
      <c r="Y28" s="1">
        <f>16+47</f>
        <v>63</v>
      </c>
      <c r="Z28" s="1">
        <f>15+46+2+1</f>
        <v>64</v>
      </c>
      <c r="AA28" s="1">
        <v>81</v>
      </c>
      <c r="AB28" s="1">
        <v>58</v>
      </c>
      <c r="AC28" s="1">
        <v>58</v>
      </c>
      <c r="AD28" s="1">
        <v>74</v>
      </c>
      <c r="AE28" s="1">
        <v>57</v>
      </c>
      <c r="AF28" s="1">
        <v>62</v>
      </c>
      <c r="AG28" s="1">
        <v>64</v>
      </c>
      <c r="AH28" s="1">
        <v>66</v>
      </c>
      <c r="AI28" s="1">
        <v>70</v>
      </c>
      <c r="AJ28" s="1">
        <v>73</v>
      </c>
      <c r="AK28" s="1">
        <v>80</v>
      </c>
      <c r="AL28" s="1">
        <v>54</v>
      </c>
      <c r="AM28" s="1">
        <v>68</v>
      </c>
      <c r="AN28" s="1">
        <v>76</v>
      </c>
      <c r="AO28" s="1">
        <v>77</v>
      </c>
      <c r="AP28" s="1">
        <v>80</v>
      </c>
      <c r="AQ28" s="1">
        <v>87</v>
      </c>
      <c r="AR28" s="1">
        <v>73</v>
      </c>
      <c r="AS28" s="1">
        <v>89</v>
      </c>
      <c r="AT28" s="1">
        <v>80</v>
      </c>
      <c r="AU28" s="1">
        <v>72</v>
      </c>
      <c r="AV28" s="1">
        <v>80</v>
      </c>
      <c r="AW28" s="1">
        <v>82</v>
      </c>
      <c r="AY28" s="31">
        <f t="shared" ref="AY28:AY34" si="2">IF(SUM(AU28:AW28)&gt;=0,AVERAGE(AU28:AW28),"")</f>
        <v>78</v>
      </c>
      <c r="AZ28" s="5">
        <f t="shared" ref="AZ28:AZ34" si="3">IF(SUM(AS28:AW28)&gt;=0,AVERAGE(AS28:AW28),"")</f>
        <v>80.599999999999994</v>
      </c>
      <c r="BA28" s="5">
        <f t="shared" ref="BA28:BA34" si="4">IF(SUM(AN28:AW28)&gt;=0,AVERAGE(AN28:AW28),"")</f>
        <v>79.599999999999994</v>
      </c>
      <c r="BB28" s="5"/>
      <c r="BC28" s="32">
        <f t="shared" ref="BC28:BC34" si="5">(AW28-BA28)/BA28</f>
        <v>3.0150753768844296E-2</v>
      </c>
    </row>
    <row r="29" spans="2:55" ht="11.25" customHeight="1">
      <c r="D29" s="1" t="s">
        <v>44</v>
      </c>
      <c r="E29" s="1">
        <v>9</v>
      </c>
      <c r="F29" s="1">
        <v>5</v>
      </c>
      <c r="G29" s="1">
        <v>10</v>
      </c>
      <c r="H29" s="1">
        <v>9</v>
      </c>
      <c r="I29" s="1">
        <v>9</v>
      </c>
      <c r="J29" s="1">
        <v>6</v>
      </c>
      <c r="K29" s="1">
        <v>4</v>
      </c>
      <c r="L29" s="1">
        <v>9</v>
      </c>
      <c r="M29" s="1">
        <v>9</v>
      </c>
      <c r="N29" s="1">
        <v>9</v>
      </c>
      <c r="O29" s="1">
        <v>9</v>
      </c>
      <c r="P29" s="1">
        <v>6</v>
      </c>
      <c r="Q29" s="1">
        <v>11</v>
      </c>
      <c r="R29" s="1">
        <v>6</v>
      </c>
      <c r="S29" s="1">
        <f>19+1</f>
        <v>20</v>
      </c>
      <c r="T29" s="1">
        <v>8</v>
      </c>
      <c r="U29" s="1">
        <v>18</v>
      </c>
      <c r="V29" s="1">
        <v>15</v>
      </c>
      <c r="W29" s="1">
        <v>28</v>
      </c>
      <c r="X29" s="1">
        <f>3+15+2</f>
        <v>20</v>
      </c>
      <c r="Y29" s="1">
        <f>2+1+7+2+2+8+1+2+1+2</f>
        <v>28</v>
      </c>
      <c r="Z29" s="1">
        <f>1+6+2+6+1+1</f>
        <v>17</v>
      </c>
      <c r="AA29" s="1">
        <f>1+2+1+7+5+1</f>
        <v>17</v>
      </c>
      <c r="AB29" s="1">
        <v>16</v>
      </c>
      <c r="AC29" s="1">
        <v>17</v>
      </c>
      <c r="AD29" s="1">
        <v>22</v>
      </c>
      <c r="AE29" s="1">
        <v>15</v>
      </c>
      <c r="AF29" s="1">
        <v>29</v>
      </c>
      <c r="AG29" s="1">
        <v>20</v>
      </c>
      <c r="AH29" s="1">
        <v>28</v>
      </c>
      <c r="AI29" s="1">
        <v>10</v>
      </c>
      <c r="AJ29" s="1">
        <v>16</v>
      </c>
      <c r="AK29" s="1">
        <v>16</v>
      </c>
      <c r="AL29" s="1">
        <v>14</v>
      </c>
      <c r="AM29" s="1">
        <v>23</v>
      </c>
      <c r="AN29" s="1">
        <v>12</v>
      </c>
      <c r="AO29" s="1">
        <v>17</v>
      </c>
      <c r="AP29" s="1">
        <v>16</v>
      </c>
      <c r="AQ29" s="1">
        <v>12</v>
      </c>
      <c r="AR29" s="1">
        <v>7</v>
      </c>
      <c r="AS29" s="1">
        <v>15</v>
      </c>
      <c r="AT29" s="1">
        <v>10</v>
      </c>
      <c r="AU29" s="1">
        <v>9</v>
      </c>
      <c r="AV29" s="1">
        <v>9</v>
      </c>
      <c r="AW29" s="1">
        <v>11</v>
      </c>
      <c r="AY29" s="31">
        <f t="shared" si="2"/>
        <v>9.6666666666666661</v>
      </c>
      <c r="AZ29" s="5">
        <f t="shared" si="3"/>
        <v>10.8</v>
      </c>
      <c r="BA29" s="5">
        <f t="shared" si="4"/>
        <v>11.8</v>
      </c>
      <c r="BB29" s="5"/>
      <c r="BC29" s="32">
        <f t="shared" si="5"/>
        <v>-6.7796610169491581E-2</v>
      </c>
    </row>
    <row r="30" spans="2:55" ht="11.25" customHeight="1">
      <c r="D30" s="1" t="s">
        <v>45</v>
      </c>
      <c r="I30" s="25" t="s">
        <v>29</v>
      </c>
      <c r="J30" s="25" t="s">
        <v>29</v>
      </c>
      <c r="K30" s="25" t="s">
        <v>29</v>
      </c>
      <c r="L30" s="25" t="s">
        <v>29</v>
      </c>
      <c r="M30" s="25" t="s">
        <v>29</v>
      </c>
      <c r="N30" s="25" t="s">
        <v>29</v>
      </c>
      <c r="O30" s="25" t="s">
        <v>29</v>
      </c>
      <c r="P30" s="1">
        <v>0</v>
      </c>
      <c r="Q30" s="1">
        <v>0</v>
      </c>
      <c r="R30" s="1">
        <v>0</v>
      </c>
      <c r="S30" s="1">
        <v>0</v>
      </c>
      <c r="T30" s="1">
        <v>1</v>
      </c>
      <c r="U30" s="1">
        <v>1</v>
      </c>
      <c r="V30" s="1">
        <v>0</v>
      </c>
      <c r="W30" s="1">
        <v>2</v>
      </c>
      <c r="X30" s="1">
        <f>2+2</f>
        <v>4</v>
      </c>
      <c r="Y30" s="1">
        <f>2+1</f>
        <v>3</v>
      </c>
      <c r="Z30" s="1">
        <f>1+1+3</f>
        <v>5</v>
      </c>
      <c r="AA30" s="1">
        <f>3+1</f>
        <v>4</v>
      </c>
      <c r="AB30" s="1">
        <v>1</v>
      </c>
      <c r="AC30" s="1">
        <v>1</v>
      </c>
      <c r="AD30" s="1">
        <v>2</v>
      </c>
      <c r="AE30" s="1">
        <v>1</v>
      </c>
      <c r="AF30" s="1">
        <v>5</v>
      </c>
      <c r="AG30" s="1">
        <v>3</v>
      </c>
      <c r="AH30" s="1">
        <v>10</v>
      </c>
      <c r="AI30" s="1">
        <v>8</v>
      </c>
      <c r="AJ30" s="1">
        <v>11</v>
      </c>
      <c r="AK30" s="1">
        <v>9</v>
      </c>
      <c r="AL30" s="1">
        <v>6</v>
      </c>
      <c r="AM30" s="1">
        <v>6</v>
      </c>
      <c r="AN30" s="1">
        <v>5</v>
      </c>
      <c r="AO30" s="1">
        <v>5</v>
      </c>
      <c r="AP30" s="1">
        <v>8</v>
      </c>
      <c r="AQ30" s="1">
        <v>1</v>
      </c>
      <c r="AR30" s="1">
        <v>7</v>
      </c>
      <c r="AS30" s="1">
        <v>8</v>
      </c>
      <c r="AT30" s="1">
        <v>3</v>
      </c>
      <c r="AU30" s="1">
        <v>6</v>
      </c>
      <c r="AV30" s="1">
        <v>2</v>
      </c>
      <c r="AW30" s="1">
        <v>4</v>
      </c>
      <c r="AY30" s="31">
        <f t="shared" si="2"/>
        <v>4</v>
      </c>
      <c r="AZ30" s="5">
        <f t="shared" si="3"/>
        <v>4.5999999999999996</v>
      </c>
      <c r="BA30" s="5">
        <f t="shared" si="4"/>
        <v>4.9000000000000004</v>
      </c>
      <c r="BB30" s="5"/>
      <c r="BC30" s="32">
        <f t="shared" si="5"/>
        <v>-0.18367346938775517</v>
      </c>
    </row>
    <row r="31" spans="2:55" ht="11.25" customHeight="1">
      <c r="C31" s="1" t="s">
        <v>46</v>
      </c>
      <c r="D31" s="1" t="s">
        <v>47</v>
      </c>
      <c r="I31" s="25" t="s">
        <v>29</v>
      </c>
      <c r="J31" s="25" t="s">
        <v>29</v>
      </c>
      <c r="K31" s="25" t="s">
        <v>29</v>
      </c>
      <c r="L31" s="25" t="s">
        <v>29</v>
      </c>
      <c r="M31" s="25" t="s">
        <v>29</v>
      </c>
      <c r="N31" s="25" t="s">
        <v>29</v>
      </c>
      <c r="O31" s="25" t="s">
        <v>29</v>
      </c>
      <c r="P31" s="25" t="s">
        <v>29</v>
      </c>
      <c r="Q31" s="25" t="s">
        <v>29</v>
      </c>
      <c r="R31" s="25" t="s">
        <v>29</v>
      </c>
      <c r="S31" s="25" t="s">
        <v>29</v>
      </c>
      <c r="T31" s="25" t="s">
        <v>29</v>
      </c>
      <c r="U31" s="25" t="s">
        <v>29</v>
      </c>
      <c r="V31" s="25" t="s">
        <v>29</v>
      </c>
      <c r="W31" s="1">
        <v>0</v>
      </c>
      <c r="X31" s="1">
        <v>7</v>
      </c>
      <c r="Y31" s="1">
        <v>9</v>
      </c>
      <c r="Z31" s="1">
        <v>7</v>
      </c>
      <c r="AA31" s="1">
        <v>5</v>
      </c>
      <c r="AB31" s="1">
        <v>2</v>
      </c>
      <c r="AC31" s="1">
        <v>2</v>
      </c>
      <c r="AD31" s="1">
        <v>5</v>
      </c>
      <c r="AE31" s="1">
        <v>3</v>
      </c>
      <c r="AF31" s="25">
        <v>6</v>
      </c>
      <c r="AG31" s="25">
        <v>7</v>
      </c>
      <c r="AH31" s="25">
        <v>7</v>
      </c>
      <c r="AI31" s="25">
        <v>2</v>
      </c>
      <c r="AJ31" s="25">
        <v>6</v>
      </c>
      <c r="AK31" s="25">
        <v>5</v>
      </c>
      <c r="AL31" s="25">
        <v>1</v>
      </c>
      <c r="AM31" s="25">
        <v>4</v>
      </c>
      <c r="AN31" s="25">
        <v>1</v>
      </c>
      <c r="AO31" s="25">
        <v>4</v>
      </c>
      <c r="AP31" s="25">
        <v>5</v>
      </c>
      <c r="AQ31" s="25">
        <v>1</v>
      </c>
      <c r="AR31" s="25">
        <v>0</v>
      </c>
      <c r="AS31" s="25">
        <v>2</v>
      </c>
      <c r="AT31" s="25">
        <v>0</v>
      </c>
      <c r="AU31" s="25">
        <v>0</v>
      </c>
      <c r="AV31" s="25">
        <v>0</v>
      </c>
      <c r="AW31" s="25">
        <v>0</v>
      </c>
      <c r="AY31" s="31">
        <f t="shared" si="2"/>
        <v>0</v>
      </c>
      <c r="AZ31" s="5">
        <f t="shared" si="3"/>
        <v>0.4</v>
      </c>
      <c r="BA31" s="5">
        <f t="shared" si="4"/>
        <v>1.3</v>
      </c>
      <c r="BB31" s="5"/>
      <c r="BC31" s="32">
        <f t="shared" si="5"/>
        <v>-1</v>
      </c>
    </row>
    <row r="32" spans="2:55" ht="11.25" hidden="1" customHeight="1">
      <c r="C32" s="1" t="s">
        <v>48</v>
      </c>
      <c r="D32" s="1" t="s">
        <v>49</v>
      </c>
      <c r="I32" s="25" t="s">
        <v>29</v>
      </c>
      <c r="J32" s="25" t="s">
        <v>29</v>
      </c>
      <c r="K32" s="25" t="s">
        <v>29</v>
      </c>
      <c r="L32" s="25" t="s">
        <v>29</v>
      </c>
      <c r="M32" s="25" t="s">
        <v>29</v>
      </c>
      <c r="N32" s="25" t="s">
        <v>29</v>
      </c>
      <c r="O32" s="25" t="s">
        <v>29</v>
      </c>
      <c r="P32" s="25" t="s">
        <v>29</v>
      </c>
      <c r="Q32" s="25" t="s">
        <v>29</v>
      </c>
      <c r="R32" s="25" t="s">
        <v>29</v>
      </c>
      <c r="S32" s="25" t="s">
        <v>29</v>
      </c>
      <c r="T32" s="25" t="s">
        <v>29</v>
      </c>
      <c r="U32" s="25" t="s">
        <v>29</v>
      </c>
      <c r="V32" s="25" t="s">
        <v>29</v>
      </c>
      <c r="W32" s="25"/>
      <c r="X32" s="25"/>
      <c r="Y32" s="25"/>
      <c r="Z32" s="25"/>
      <c r="AA32" s="25"/>
      <c r="AB32" s="1">
        <v>3</v>
      </c>
      <c r="AC32" s="1">
        <v>1</v>
      </c>
      <c r="AD32" s="1">
        <v>0</v>
      </c>
      <c r="AE32" s="1">
        <v>5</v>
      </c>
      <c r="AY32" s="31" t="e">
        <f t="shared" si="2"/>
        <v>#DIV/0!</v>
      </c>
      <c r="AZ32" s="5" t="e">
        <f t="shared" si="3"/>
        <v>#DIV/0!</v>
      </c>
      <c r="BA32" s="5" t="e">
        <f t="shared" si="4"/>
        <v>#DIV/0!</v>
      </c>
      <c r="BB32" s="5"/>
      <c r="BC32" s="32" t="e">
        <f t="shared" si="5"/>
        <v>#DIV/0!</v>
      </c>
    </row>
    <row r="33" spans="2:55" ht="11.25" hidden="1" customHeight="1">
      <c r="C33" s="1" t="s">
        <v>50</v>
      </c>
      <c r="D33" s="1" t="s">
        <v>49</v>
      </c>
      <c r="I33" s="25" t="s">
        <v>29</v>
      </c>
      <c r="J33" s="25" t="s">
        <v>29</v>
      </c>
      <c r="K33" s="25" t="s">
        <v>29</v>
      </c>
      <c r="L33" s="25" t="s">
        <v>29</v>
      </c>
      <c r="M33" s="25" t="s">
        <v>29</v>
      </c>
      <c r="N33" s="25" t="s">
        <v>29</v>
      </c>
      <c r="O33" s="25" t="s">
        <v>29</v>
      </c>
      <c r="P33" s="25" t="s">
        <v>29</v>
      </c>
      <c r="Q33" s="25" t="s">
        <v>29</v>
      </c>
      <c r="R33" s="25" t="s">
        <v>29</v>
      </c>
      <c r="S33" s="25" t="s">
        <v>29</v>
      </c>
      <c r="T33" s="25" t="s">
        <v>29</v>
      </c>
      <c r="U33" s="25" t="s">
        <v>29</v>
      </c>
      <c r="V33" s="25" t="s">
        <v>29</v>
      </c>
      <c r="W33" s="25"/>
      <c r="X33" s="25"/>
      <c r="Y33" s="25"/>
      <c r="Z33" s="25"/>
      <c r="AA33" s="25"/>
      <c r="AB33" s="1">
        <v>2</v>
      </c>
      <c r="AC33" s="1">
        <v>4</v>
      </c>
      <c r="AD33" s="1">
        <v>0</v>
      </c>
      <c r="AE33" s="1">
        <v>1</v>
      </c>
      <c r="AY33" s="31" t="e">
        <f t="shared" si="2"/>
        <v>#DIV/0!</v>
      </c>
      <c r="AZ33" s="5" t="e">
        <f t="shared" si="3"/>
        <v>#DIV/0!</v>
      </c>
      <c r="BA33" s="5" t="e">
        <f t="shared" si="4"/>
        <v>#DIV/0!</v>
      </c>
      <c r="BB33" s="5"/>
      <c r="BC33" s="32" t="e">
        <f t="shared" si="5"/>
        <v>#DIV/0!</v>
      </c>
    </row>
    <row r="34" spans="2:55" ht="11.25" customHeight="1">
      <c r="C34" s="1" t="s">
        <v>51</v>
      </c>
      <c r="D34" s="1" t="s">
        <v>52</v>
      </c>
      <c r="I34" s="25" t="s">
        <v>29</v>
      </c>
      <c r="J34" s="25" t="s">
        <v>29</v>
      </c>
      <c r="K34" s="25" t="s">
        <v>29</v>
      </c>
      <c r="L34" s="25" t="s">
        <v>29</v>
      </c>
      <c r="M34" s="25" t="s">
        <v>29</v>
      </c>
      <c r="N34" s="25" t="s">
        <v>29</v>
      </c>
      <c r="O34" s="25" t="s">
        <v>29</v>
      </c>
      <c r="P34" s="25" t="s">
        <v>29</v>
      </c>
      <c r="Q34" s="25" t="s">
        <v>29</v>
      </c>
      <c r="R34" s="25" t="s">
        <v>29</v>
      </c>
      <c r="S34" s="25" t="s">
        <v>29</v>
      </c>
      <c r="T34" s="25" t="s">
        <v>29</v>
      </c>
      <c r="U34" s="25" t="s">
        <v>29</v>
      </c>
      <c r="V34" s="25" t="s">
        <v>29</v>
      </c>
      <c r="W34" s="1">
        <v>0</v>
      </c>
      <c r="X34" s="1">
        <v>5</v>
      </c>
      <c r="Y34" s="1">
        <v>3</v>
      </c>
      <c r="Z34" s="1">
        <v>4</v>
      </c>
      <c r="AA34" s="1">
        <v>5</v>
      </c>
      <c r="AB34" s="1">
        <v>7</v>
      </c>
      <c r="AC34" s="1">
        <v>4</v>
      </c>
      <c r="AD34" s="1">
        <v>3</v>
      </c>
      <c r="AE34" s="1">
        <v>2</v>
      </c>
      <c r="AF34" s="1">
        <v>10</v>
      </c>
      <c r="AG34" s="1">
        <v>5</v>
      </c>
      <c r="AH34" s="1">
        <v>14</v>
      </c>
      <c r="AI34" s="1">
        <v>5</v>
      </c>
      <c r="AJ34" s="1">
        <v>0</v>
      </c>
      <c r="AK34" s="1">
        <v>6</v>
      </c>
      <c r="AL34" s="1">
        <v>2</v>
      </c>
      <c r="AM34" s="1">
        <v>1</v>
      </c>
      <c r="AN34" s="1">
        <v>3</v>
      </c>
      <c r="AO34" s="1">
        <v>1</v>
      </c>
      <c r="AP34" s="1">
        <v>2</v>
      </c>
      <c r="AQ34" s="1">
        <v>1</v>
      </c>
      <c r="AR34" s="1">
        <v>0</v>
      </c>
      <c r="AS34" s="1">
        <v>0</v>
      </c>
      <c r="AT34" s="1">
        <v>1</v>
      </c>
      <c r="AU34" s="1">
        <v>1</v>
      </c>
      <c r="AV34" s="1">
        <v>1</v>
      </c>
      <c r="AW34" s="1">
        <v>1</v>
      </c>
      <c r="AY34" s="31">
        <f t="shared" si="2"/>
        <v>1</v>
      </c>
      <c r="AZ34" s="5">
        <f t="shared" si="3"/>
        <v>0.8</v>
      </c>
      <c r="BA34" s="5">
        <f t="shared" si="4"/>
        <v>1.1000000000000001</v>
      </c>
      <c r="BB34" s="5"/>
      <c r="BC34" s="32">
        <f t="shared" si="5"/>
        <v>-9.0909090909090981E-2</v>
      </c>
    </row>
    <row r="35" spans="2:55" ht="11.25" customHeight="1"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3"/>
      <c r="AZ35" s="4"/>
      <c r="BA35" s="4"/>
    </row>
    <row r="36" spans="2:55" ht="11.25" customHeight="1">
      <c r="B36" s="36" t="s">
        <v>53</v>
      </c>
      <c r="C36" s="1" t="s">
        <v>54</v>
      </c>
      <c r="D36" s="1" t="s">
        <v>43</v>
      </c>
      <c r="E36" s="1">
        <v>39</v>
      </c>
      <c r="F36" s="1">
        <v>19</v>
      </c>
      <c r="G36" s="1">
        <v>19</v>
      </c>
      <c r="H36" s="1">
        <v>23</v>
      </c>
      <c r="I36" s="1">
        <v>27</v>
      </c>
      <c r="J36" s="1">
        <v>21</v>
      </c>
      <c r="K36" s="1">
        <v>21</v>
      </c>
      <c r="L36" s="1">
        <v>20</v>
      </c>
      <c r="M36" s="1">
        <v>21</v>
      </c>
      <c r="N36" s="1">
        <v>19</v>
      </c>
      <c r="O36" s="1">
        <v>15</v>
      </c>
      <c r="P36" s="1">
        <v>15</v>
      </c>
      <c r="Q36" s="1">
        <v>10</v>
      </c>
      <c r="R36" s="1">
        <v>14</v>
      </c>
      <c r="S36" s="1">
        <f>13+11</f>
        <v>24</v>
      </c>
      <c r="T36" s="1">
        <v>20</v>
      </c>
      <c r="U36" s="1">
        <v>26</v>
      </c>
      <c r="V36" s="1">
        <v>24</v>
      </c>
      <c r="W36" s="1">
        <v>20</v>
      </c>
      <c r="X36" s="1">
        <f>15+8</f>
        <v>23</v>
      </c>
      <c r="Y36" s="1">
        <f>6+7</f>
        <v>13</v>
      </c>
      <c r="Z36" s="1">
        <f>7+11</f>
        <v>18</v>
      </c>
      <c r="AA36" s="1">
        <v>16</v>
      </c>
      <c r="AB36" s="1">
        <v>15</v>
      </c>
      <c r="AC36" s="1">
        <v>19</v>
      </c>
      <c r="AD36" s="1">
        <v>23</v>
      </c>
      <c r="AE36" s="1">
        <v>9</v>
      </c>
      <c r="AF36" s="1">
        <v>13</v>
      </c>
      <c r="AG36" s="1">
        <v>18</v>
      </c>
      <c r="AH36" s="1">
        <v>14</v>
      </c>
      <c r="AI36" s="1">
        <v>16</v>
      </c>
      <c r="AJ36" s="1">
        <v>13</v>
      </c>
      <c r="AK36" s="1">
        <v>17</v>
      </c>
      <c r="AL36" s="1">
        <v>8</v>
      </c>
      <c r="AM36" s="1">
        <v>13</v>
      </c>
      <c r="AN36" s="1">
        <v>11</v>
      </c>
      <c r="AO36" s="1">
        <v>19</v>
      </c>
      <c r="AP36" s="1">
        <v>17</v>
      </c>
      <c r="AQ36" s="1">
        <v>28</v>
      </c>
      <c r="AR36" s="1">
        <v>13</v>
      </c>
      <c r="AS36" s="1">
        <v>20</v>
      </c>
      <c r="AT36" s="1">
        <v>10</v>
      </c>
      <c r="AU36" s="1">
        <v>14</v>
      </c>
      <c r="AV36" s="1">
        <v>9</v>
      </c>
      <c r="AW36" s="1">
        <v>17</v>
      </c>
      <c r="AY36" s="31">
        <f t="shared" ref="AY36:AY38" si="6">IF(SUM(AU36:AW36)&gt;=0,AVERAGE(AU36:AW36),"")</f>
        <v>13.333333333333334</v>
      </c>
      <c r="AZ36" s="5">
        <f t="shared" ref="AZ36:AZ38" si="7">IF(SUM(AS36:AW36)&gt;=0,AVERAGE(AS36:AW36),"")</f>
        <v>14</v>
      </c>
      <c r="BA36" s="5">
        <f>IF(SUM(AN36:AW36)&gt;=0,AVERAGE(AN36:AW36),"")</f>
        <v>15.8</v>
      </c>
      <c r="BB36" s="5"/>
      <c r="BC36" s="32">
        <f>(AW36-BA36)/BA36</f>
        <v>7.5949367088607542E-2</v>
      </c>
    </row>
    <row r="37" spans="2:55" ht="11.25" customHeight="1">
      <c r="D37" s="1" t="s">
        <v>44</v>
      </c>
      <c r="E37" s="1">
        <v>2</v>
      </c>
      <c r="F37" s="1">
        <v>5</v>
      </c>
      <c r="G37" s="1">
        <v>4</v>
      </c>
      <c r="H37" s="1">
        <v>3</v>
      </c>
      <c r="I37" s="1">
        <v>13</v>
      </c>
      <c r="J37" s="1">
        <v>4</v>
      </c>
      <c r="K37" s="1">
        <v>5</v>
      </c>
      <c r="L37" s="1">
        <v>4</v>
      </c>
      <c r="M37" s="1">
        <v>6</v>
      </c>
      <c r="N37" s="1">
        <v>11</v>
      </c>
      <c r="O37" s="1">
        <v>4</v>
      </c>
      <c r="P37" s="1">
        <v>5</v>
      </c>
      <c r="Q37" s="1">
        <v>7</v>
      </c>
      <c r="R37" s="1">
        <v>1</v>
      </c>
      <c r="S37" s="1">
        <v>4</v>
      </c>
      <c r="T37" s="1">
        <v>13</v>
      </c>
      <c r="U37" s="1">
        <v>10</v>
      </c>
      <c r="V37" s="1">
        <v>9</v>
      </c>
      <c r="W37" s="1">
        <v>14</v>
      </c>
      <c r="X37" s="1">
        <v>9</v>
      </c>
      <c r="Y37" s="1">
        <f>5+1+1</f>
        <v>7</v>
      </c>
      <c r="Z37" s="1">
        <v>15</v>
      </c>
      <c r="AA37" s="1">
        <f>7+1+1</f>
        <v>9</v>
      </c>
      <c r="AB37" s="1">
        <v>11</v>
      </c>
      <c r="AC37" s="1">
        <v>9</v>
      </c>
      <c r="AD37" s="1">
        <v>11</v>
      </c>
      <c r="AE37" s="1">
        <v>6</v>
      </c>
      <c r="AF37" s="1">
        <v>14</v>
      </c>
      <c r="AG37" s="1">
        <v>11</v>
      </c>
      <c r="AH37" s="1">
        <v>8</v>
      </c>
      <c r="AI37" s="1">
        <v>10</v>
      </c>
      <c r="AJ37" s="1">
        <v>9</v>
      </c>
      <c r="AK37" s="1">
        <v>14</v>
      </c>
      <c r="AL37" s="1">
        <v>9</v>
      </c>
      <c r="AM37" s="1">
        <v>18</v>
      </c>
      <c r="AN37" s="1">
        <v>12</v>
      </c>
      <c r="AO37" s="1">
        <v>12</v>
      </c>
      <c r="AP37" s="1">
        <v>13</v>
      </c>
      <c r="AQ37" s="1">
        <v>17</v>
      </c>
      <c r="AR37" s="1">
        <v>12</v>
      </c>
      <c r="AS37" s="1">
        <v>16</v>
      </c>
      <c r="AT37" s="1">
        <v>5</v>
      </c>
      <c r="AU37" s="1">
        <v>6</v>
      </c>
      <c r="AV37" s="1">
        <v>8</v>
      </c>
      <c r="AW37" s="1">
        <v>9</v>
      </c>
      <c r="AY37" s="31">
        <f t="shared" si="6"/>
        <v>7.666666666666667</v>
      </c>
      <c r="AZ37" s="5">
        <f t="shared" si="7"/>
        <v>8.8000000000000007</v>
      </c>
      <c r="BA37" s="5">
        <f>IF(SUM(AN37:AW37)&gt;=0,AVERAGE(AN37:AW37),"")</f>
        <v>11</v>
      </c>
      <c r="BB37" s="5"/>
      <c r="BC37" s="32">
        <f>(AW37-BA37)/BA37</f>
        <v>-0.18181818181818182</v>
      </c>
    </row>
    <row r="38" spans="2:55" ht="11.25" customHeight="1">
      <c r="D38" s="1" t="s">
        <v>49</v>
      </c>
      <c r="E38" s="1">
        <v>3</v>
      </c>
      <c r="F38" s="1">
        <v>1</v>
      </c>
      <c r="G38" s="1">
        <v>3</v>
      </c>
      <c r="H38" s="1">
        <v>2</v>
      </c>
      <c r="I38" s="1">
        <v>3</v>
      </c>
      <c r="J38" s="1">
        <v>0</v>
      </c>
      <c r="K38" s="1">
        <v>4</v>
      </c>
      <c r="L38" s="1">
        <v>2</v>
      </c>
      <c r="M38" s="1">
        <v>2</v>
      </c>
      <c r="N38" s="1">
        <v>2</v>
      </c>
      <c r="O38" s="1">
        <v>7</v>
      </c>
      <c r="P38" s="1">
        <v>4</v>
      </c>
      <c r="Q38" s="1">
        <v>3</v>
      </c>
      <c r="R38" s="1">
        <v>4</v>
      </c>
      <c r="S38" s="1">
        <f>3+3+1</f>
        <v>7</v>
      </c>
      <c r="T38" s="1">
        <v>4</v>
      </c>
      <c r="U38" s="1">
        <v>3</v>
      </c>
      <c r="V38" s="1">
        <v>7</v>
      </c>
      <c r="W38" s="1">
        <v>4</v>
      </c>
      <c r="X38" s="1">
        <v>7</v>
      </c>
      <c r="Y38" s="1">
        <f>3+1+2+1</f>
        <v>7</v>
      </c>
      <c r="Z38" s="1">
        <v>3</v>
      </c>
      <c r="AA38" s="1">
        <f>7+1+1</f>
        <v>9</v>
      </c>
      <c r="AB38" s="1">
        <v>4</v>
      </c>
      <c r="AC38" s="1">
        <v>8</v>
      </c>
      <c r="AD38" s="1">
        <v>5</v>
      </c>
      <c r="AE38" s="1">
        <v>5</v>
      </c>
      <c r="AF38" s="1">
        <v>4</v>
      </c>
      <c r="AG38" s="1">
        <v>4</v>
      </c>
      <c r="AH38" s="1">
        <v>4</v>
      </c>
      <c r="AI38" s="1">
        <v>4</v>
      </c>
      <c r="AJ38" s="1">
        <v>7</v>
      </c>
      <c r="AK38" s="1">
        <v>7</v>
      </c>
      <c r="AL38" s="1">
        <v>5</v>
      </c>
      <c r="AM38" s="1">
        <v>5</v>
      </c>
      <c r="AN38" s="1">
        <v>8</v>
      </c>
      <c r="AO38" s="1">
        <v>5</v>
      </c>
      <c r="AP38" s="1">
        <v>7</v>
      </c>
      <c r="AQ38" s="1">
        <v>4</v>
      </c>
      <c r="AR38" s="1">
        <v>8</v>
      </c>
      <c r="AS38" s="1">
        <v>9</v>
      </c>
      <c r="AT38" s="1">
        <v>4</v>
      </c>
      <c r="AU38" s="1">
        <v>5</v>
      </c>
      <c r="AV38" s="1">
        <v>5</v>
      </c>
      <c r="AW38" s="1">
        <v>4</v>
      </c>
      <c r="AY38" s="31">
        <f t="shared" si="6"/>
        <v>4.666666666666667</v>
      </c>
      <c r="AZ38" s="5">
        <f t="shared" si="7"/>
        <v>5.4</v>
      </c>
      <c r="BA38" s="5">
        <f>IF(SUM(AN38:AW38)&gt;=0,AVERAGE(AN38:AW38),"")</f>
        <v>5.9</v>
      </c>
      <c r="BB38" s="5"/>
      <c r="BC38" s="32">
        <f>(AW38-BA38)/BA38</f>
        <v>-0.32203389830508478</v>
      </c>
    </row>
    <row r="39" spans="2:55" ht="11.25" customHeight="1"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4"/>
      <c r="AZ39" s="4"/>
      <c r="BA39" s="4"/>
    </row>
    <row r="40" spans="2:55" ht="11.25" customHeight="1">
      <c r="B40" s="36" t="s">
        <v>55</v>
      </c>
      <c r="C40" s="1" t="s">
        <v>56</v>
      </c>
      <c r="D40" s="1" t="s">
        <v>34</v>
      </c>
      <c r="E40" s="1">
        <v>21</v>
      </c>
      <c r="F40" s="1">
        <v>19</v>
      </c>
      <c r="G40" s="1">
        <v>28</v>
      </c>
      <c r="H40" s="1">
        <v>43</v>
      </c>
      <c r="I40" s="1">
        <v>57</v>
      </c>
      <c r="J40" s="1">
        <v>51</v>
      </c>
      <c r="K40" s="1">
        <v>41</v>
      </c>
      <c r="L40" s="1">
        <v>72</v>
      </c>
      <c r="M40" s="1">
        <v>49</v>
      </c>
      <c r="N40" s="1">
        <v>48</v>
      </c>
      <c r="O40" s="1">
        <v>56</v>
      </c>
      <c r="P40" s="1">
        <v>68</v>
      </c>
      <c r="Q40" s="1">
        <f>63+8</f>
        <v>71</v>
      </c>
      <c r="R40" s="1">
        <f>15+75</f>
        <v>90</v>
      </c>
      <c r="S40" s="1">
        <f>1+53+10+25+1+1</f>
        <v>91</v>
      </c>
      <c r="T40" s="1">
        <v>89</v>
      </c>
      <c r="U40" s="1">
        <v>95</v>
      </c>
      <c r="V40" s="1">
        <v>91</v>
      </c>
      <c r="W40" s="1">
        <v>97</v>
      </c>
      <c r="X40" s="1">
        <v>122</v>
      </c>
      <c r="Y40" s="1">
        <v>102</v>
      </c>
      <c r="Z40" s="1">
        <v>103</v>
      </c>
      <c r="AA40" s="1">
        <v>99</v>
      </c>
      <c r="AB40" s="1">
        <v>118</v>
      </c>
      <c r="AC40" s="1">
        <v>56</v>
      </c>
      <c r="AD40" s="1">
        <v>135</v>
      </c>
      <c r="AE40" s="1">
        <v>120</v>
      </c>
      <c r="AF40" s="1">
        <v>144</v>
      </c>
      <c r="AG40" s="1">
        <v>139</v>
      </c>
      <c r="AH40" s="1">
        <v>139</v>
      </c>
      <c r="AI40" s="1">
        <v>123</v>
      </c>
      <c r="AJ40" s="1">
        <v>97</v>
      </c>
      <c r="AK40" s="1">
        <v>106</v>
      </c>
      <c r="AL40" s="1">
        <v>98</v>
      </c>
      <c r="AM40" s="1">
        <v>83</v>
      </c>
      <c r="AN40" s="1">
        <v>93</v>
      </c>
      <c r="AO40" s="1">
        <v>101</v>
      </c>
      <c r="AP40" s="1">
        <v>108</v>
      </c>
      <c r="AQ40" s="1">
        <v>115</v>
      </c>
      <c r="AR40" s="1">
        <v>79</v>
      </c>
      <c r="AS40" s="1">
        <v>74</v>
      </c>
      <c r="AT40" s="1">
        <v>68</v>
      </c>
      <c r="AU40" s="1">
        <v>63</v>
      </c>
      <c r="AV40" s="1">
        <v>80</v>
      </c>
      <c r="AW40" s="1">
        <v>60</v>
      </c>
      <c r="AY40" s="31">
        <f t="shared" ref="AY40:AY44" si="8">IF(SUM(AU40:AW40)&gt;=0,AVERAGE(AU40:AW40),"")</f>
        <v>67.666666666666671</v>
      </c>
      <c r="AZ40" s="5">
        <f t="shared" ref="AZ40:AZ43" si="9">IF(SUM(AS40:AW40)&gt;=0,AVERAGE(AS40:AW40),"")</f>
        <v>69</v>
      </c>
      <c r="BA40" s="3" t="s">
        <v>22</v>
      </c>
      <c r="BC40" s="33"/>
    </row>
    <row r="41" spans="2:55" ht="11.25" customHeight="1">
      <c r="D41" s="1" t="s">
        <v>57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1">
        <v>0</v>
      </c>
      <c r="AC41" s="25"/>
      <c r="AD41" s="25"/>
      <c r="AE41" s="1">
        <v>1</v>
      </c>
      <c r="AF41" s="1">
        <v>4</v>
      </c>
      <c r="AG41" s="1">
        <v>13</v>
      </c>
      <c r="AH41" s="1">
        <v>13</v>
      </c>
      <c r="AI41" s="1">
        <v>16</v>
      </c>
      <c r="AJ41" s="1">
        <v>8</v>
      </c>
      <c r="AK41" s="1">
        <v>13</v>
      </c>
      <c r="AL41" s="1">
        <v>6</v>
      </c>
      <c r="AM41" s="1">
        <v>17</v>
      </c>
      <c r="AN41" s="1">
        <v>4</v>
      </c>
      <c r="AO41" s="1">
        <v>8</v>
      </c>
      <c r="AP41" s="1">
        <v>7</v>
      </c>
      <c r="AQ41" s="1">
        <v>2</v>
      </c>
      <c r="AR41" s="1">
        <v>7</v>
      </c>
      <c r="AS41" s="1">
        <v>6</v>
      </c>
      <c r="AT41" s="1">
        <v>4</v>
      </c>
      <c r="AU41" s="1">
        <v>1</v>
      </c>
      <c r="AV41" s="1">
        <v>5</v>
      </c>
      <c r="AW41" s="1">
        <v>4</v>
      </c>
      <c r="AY41" s="31">
        <f t="shared" si="8"/>
        <v>3.3333333333333335</v>
      </c>
      <c r="AZ41" s="5">
        <f t="shared" si="9"/>
        <v>4</v>
      </c>
      <c r="BA41" s="3" t="s">
        <v>22</v>
      </c>
      <c r="BC41" s="33"/>
    </row>
    <row r="42" spans="2:55" ht="11.25" customHeight="1">
      <c r="C42" s="1" t="s">
        <v>58</v>
      </c>
      <c r="D42" s="1" t="s">
        <v>59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S42" s="1">
        <v>2</v>
      </c>
      <c r="AT42" s="1">
        <v>0</v>
      </c>
      <c r="AU42" s="1">
        <v>1</v>
      </c>
      <c r="AV42" s="1">
        <v>0</v>
      </c>
      <c r="AW42" s="1">
        <v>6</v>
      </c>
      <c r="AY42" s="31">
        <f t="shared" si="8"/>
        <v>2.3333333333333335</v>
      </c>
      <c r="AZ42" s="5">
        <f t="shared" si="9"/>
        <v>1.8</v>
      </c>
      <c r="BA42" s="3" t="s">
        <v>22</v>
      </c>
      <c r="BC42" s="33"/>
    </row>
    <row r="43" spans="2:55" ht="11.25" customHeight="1">
      <c r="C43" s="1" t="s">
        <v>60</v>
      </c>
      <c r="D43" s="1" t="s">
        <v>61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R43" s="1">
        <v>0</v>
      </c>
      <c r="AS43" s="1">
        <v>3</v>
      </c>
      <c r="AT43" s="1">
        <v>6</v>
      </c>
      <c r="AU43" s="1">
        <v>2</v>
      </c>
      <c r="AV43" s="1">
        <v>0</v>
      </c>
      <c r="AW43" s="1">
        <v>1</v>
      </c>
      <c r="AY43" s="31">
        <f t="shared" si="8"/>
        <v>1</v>
      </c>
      <c r="AZ43" s="5">
        <f t="shared" si="9"/>
        <v>2.4</v>
      </c>
      <c r="BA43" s="3" t="s">
        <v>22</v>
      </c>
      <c r="BC43" s="33"/>
    </row>
    <row r="44" spans="2:55" ht="11.25" customHeight="1">
      <c r="C44" s="1" t="s">
        <v>62</v>
      </c>
      <c r="D44" s="1" t="s">
        <v>63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R44" s="1">
        <v>32</v>
      </c>
      <c r="AS44" s="1">
        <v>47</v>
      </c>
      <c r="AT44" s="1">
        <v>44</v>
      </c>
      <c r="AU44" s="1">
        <v>31</v>
      </c>
      <c r="AV44" s="1">
        <v>21</v>
      </c>
      <c r="AW44" s="1">
        <v>13</v>
      </c>
      <c r="AY44" s="31">
        <f t="shared" si="8"/>
        <v>21.666666666666668</v>
      </c>
      <c r="AZ44" s="5" t="s">
        <v>22</v>
      </c>
      <c r="BA44" s="3" t="s">
        <v>22</v>
      </c>
      <c r="BC44" s="33"/>
    </row>
    <row r="45" spans="2:55" ht="11.25" customHeight="1">
      <c r="C45" s="1" t="s">
        <v>64</v>
      </c>
      <c r="D45" s="1" t="s">
        <v>65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U45" s="1">
        <v>6</v>
      </c>
      <c r="AV45" s="1">
        <v>9</v>
      </c>
      <c r="AW45" s="1">
        <v>3</v>
      </c>
      <c r="AY45" s="31">
        <f>IF(SUM(AU45:AW45)&gt;=0,AVERAGE(AU45:AW45),"")</f>
        <v>6</v>
      </c>
      <c r="AZ45" s="3" t="s">
        <v>22</v>
      </c>
      <c r="BA45" s="3" t="s">
        <v>22</v>
      </c>
      <c r="BC45" s="33"/>
    </row>
    <row r="46" spans="2:55" ht="11.25" customHeight="1"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Y46" s="5"/>
      <c r="AZ46" s="3"/>
      <c r="BA46" s="3"/>
    </row>
    <row r="47" spans="2:55" ht="11.25" customHeight="1">
      <c r="B47" s="36" t="s">
        <v>66</v>
      </c>
      <c r="C47" s="1" t="s">
        <v>67</v>
      </c>
      <c r="D47" s="1" t="s">
        <v>68</v>
      </c>
      <c r="AQ47" s="7"/>
      <c r="AU47" s="1">
        <v>1</v>
      </c>
      <c r="AV47" s="1">
        <v>10</v>
      </c>
      <c r="AW47" s="1">
        <v>8</v>
      </c>
      <c r="AY47" s="31">
        <f t="shared" ref="AY47:AY56" si="10">IF(SUM(AU47:AW47)&gt;=0,AVERAGE(AU47:AW47),"")</f>
        <v>6.333333333333333</v>
      </c>
      <c r="AZ47" s="3" t="s">
        <v>22</v>
      </c>
      <c r="BA47" s="3" t="s">
        <v>22</v>
      </c>
      <c r="BC47" s="33"/>
    </row>
    <row r="48" spans="2:55" ht="11.25" customHeight="1">
      <c r="C48" s="1" t="s">
        <v>69</v>
      </c>
      <c r="D48" s="1" t="s">
        <v>70</v>
      </c>
      <c r="AQ48" s="7"/>
      <c r="AT48" s="1">
        <v>1</v>
      </c>
      <c r="AU48" s="1">
        <v>1</v>
      </c>
      <c r="AV48" s="1">
        <v>6</v>
      </c>
      <c r="AW48" s="1">
        <v>6</v>
      </c>
      <c r="AY48" s="31">
        <f t="shared" si="10"/>
        <v>4.333333333333333</v>
      </c>
      <c r="AZ48" s="3" t="s">
        <v>22</v>
      </c>
      <c r="BA48" s="3" t="s">
        <v>22</v>
      </c>
      <c r="BC48" s="33"/>
    </row>
    <row r="49" spans="2:55" ht="11.25" customHeight="1">
      <c r="C49" s="1" t="s">
        <v>71</v>
      </c>
      <c r="D49" s="1" t="s">
        <v>72</v>
      </c>
      <c r="I49" s="1">
        <v>0</v>
      </c>
      <c r="J49" s="1">
        <v>9</v>
      </c>
      <c r="K49" s="1">
        <v>22</v>
      </c>
      <c r="L49" s="1">
        <v>21</v>
      </c>
      <c r="M49" s="1">
        <v>22</v>
      </c>
      <c r="N49" s="1">
        <v>35</v>
      </c>
      <c r="O49" s="1">
        <v>40</v>
      </c>
      <c r="P49" s="1">
        <v>28</v>
      </c>
      <c r="Q49" s="1">
        <v>37</v>
      </c>
      <c r="R49" s="1">
        <v>34</v>
      </c>
      <c r="S49" s="1">
        <v>19</v>
      </c>
      <c r="T49" s="1">
        <v>23</v>
      </c>
      <c r="U49" s="1">
        <v>30</v>
      </c>
      <c r="V49" s="1">
        <v>20</v>
      </c>
      <c r="W49" s="1">
        <v>27</v>
      </c>
      <c r="X49" s="1">
        <v>24</v>
      </c>
      <c r="Y49" s="1">
        <v>24</v>
      </c>
      <c r="Z49" s="1">
        <v>19</v>
      </c>
      <c r="AA49" s="1">
        <v>29</v>
      </c>
      <c r="AB49" s="1">
        <v>35</v>
      </c>
      <c r="AC49" s="1">
        <v>40</v>
      </c>
      <c r="AD49" s="1">
        <v>55</v>
      </c>
      <c r="AE49" s="1">
        <f>50+1</f>
        <v>51</v>
      </c>
      <c r="AF49" s="1">
        <v>47</v>
      </c>
      <c r="AG49" s="1">
        <v>34</v>
      </c>
      <c r="AH49" s="1">
        <v>24</v>
      </c>
      <c r="AI49" s="1">
        <v>24</v>
      </c>
      <c r="AJ49" s="1">
        <v>20</v>
      </c>
      <c r="AK49" s="1">
        <v>16</v>
      </c>
      <c r="AL49" s="1">
        <v>15</v>
      </c>
      <c r="AM49" s="1">
        <v>15</v>
      </c>
      <c r="AN49" s="1">
        <v>21</v>
      </c>
      <c r="AO49" s="1">
        <v>22</v>
      </c>
      <c r="AP49" s="1">
        <v>33</v>
      </c>
      <c r="AQ49" s="1">
        <v>35</v>
      </c>
      <c r="AR49" s="1">
        <v>60</v>
      </c>
      <c r="AS49" s="1">
        <v>66</v>
      </c>
      <c r="AT49" s="1">
        <v>70</v>
      </c>
      <c r="AU49" s="1">
        <v>67</v>
      </c>
      <c r="AV49" s="1">
        <v>56</v>
      </c>
      <c r="AW49" s="1">
        <v>66</v>
      </c>
      <c r="AY49" s="31">
        <f t="shared" si="10"/>
        <v>63</v>
      </c>
      <c r="AZ49" s="5">
        <f t="shared" ref="AZ49:AZ50" si="11">IF(SUM(AS49:AW49)&gt;=0,AVERAGE(AS49:AW49),"")</f>
        <v>65</v>
      </c>
      <c r="BA49" s="5">
        <f t="shared" ref="BA49:BA50" si="12">IF(SUM(AN49:AW49)&gt;=0,AVERAGE(AN49:AW49),"")</f>
        <v>49.6</v>
      </c>
      <c r="BB49" s="5"/>
      <c r="BC49" s="32">
        <f t="shared" ref="BC49:BC50" si="13">(AW49-BA49)/BA49</f>
        <v>0.33064516129032256</v>
      </c>
    </row>
    <row r="50" spans="2:55" ht="11.25" customHeight="1">
      <c r="D50" s="1" t="s">
        <v>44</v>
      </c>
      <c r="I50" s="25" t="s">
        <v>29</v>
      </c>
      <c r="J50" s="25" t="s">
        <v>29</v>
      </c>
      <c r="K50" s="25" t="s">
        <v>29</v>
      </c>
      <c r="L50" s="25" t="s">
        <v>29</v>
      </c>
      <c r="M50" s="25" t="s">
        <v>29</v>
      </c>
      <c r="N50" s="25" t="s">
        <v>29</v>
      </c>
      <c r="O50" s="25" t="s">
        <v>29</v>
      </c>
      <c r="P50" s="25" t="s">
        <v>29</v>
      </c>
      <c r="Q50" s="25" t="s">
        <v>29</v>
      </c>
      <c r="R50" s="25" t="s">
        <v>29</v>
      </c>
      <c r="S50" s="25" t="s">
        <v>29</v>
      </c>
      <c r="T50" s="25" t="s">
        <v>29</v>
      </c>
      <c r="U50" s="25" t="s">
        <v>29</v>
      </c>
      <c r="V50" s="25" t="s">
        <v>29</v>
      </c>
      <c r="W50" s="25"/>
      <c r="X50" s="25"/>
      <c r="Y50" s="25"/>
      <c r="Z50" s="25"/>
      <c r="AA50" s="25"/>
      <c r="AB50" s="1">
        <v>8</v>
      </c>
      <c r="AC50" s="1">
        <v>22</v>
      </c>
      <c r="AD50" s="1">
        <v>27</v>
      </c>
      <c r="AE50" s="1">
        <v>37</v>
      </c>
      <c r="AF50" s="1">
        <v>20</v>
      </c>
      <c r="AG50" s="1">
        <v>28</v>
      </c>
      <c r="AH50" s="1">
        <v>25</v>
      </c>
      <c r="AI50" s="1">
        <v>17</v>
      </c>
      <c r="AJ50" s="1">
        <v>25</v>
      </c>
      <c r="AK50" s="1">
        <v>18</v>
      </c>
      <c r="AL50" s="1">
        <v>11</v>
      </c>
      <c r="AM50" s="1">
        <v>13</v>
      </c>
      <c r="AN50" s="1">
        <v>10</v>
      </c>
      <c r="AO50" s="1">
        <v>10</v>
      </c>
      <c r="AP50" s="1">
        <v>14</v>
      </c>
      <c r="AQ50" s="1">
        <v>7</v>
      </c>
      <c r="AR50" s="1">
        <v>28</v>
      </c>
      <c r="AS50" s="1">
        <v>28</v>
      </c>
      <c r="AT50" s="1">
        <v>16</v>
      </c>
      <c r="AU50" s="1">
        <v>22</v>
      </c>
      <c r="AV50" s="1">
        <v>19</v>
      </c>
      <c r="AW50" s="1">
        <v>12</v>
      </c>
      <c r="AY50" s="31">
        <f t="shared" si="10"/>
        <v>17.666666666666668</v>
      </c>
      <c r="AZ50" s="5">
        <f t="shared" si="11"/>
        <v>19.399999999999999</v>
      </c>
      <c r="BA50" s="5">
        <f t="shared" si="12"/>
        <v>16.600000000000001</v>
      </c>
      <c r="BB50" s="5"/>
      <c r="BC50" s="32">
        <f t="shared" si="13"/>
        <v>-0.27710843373493982</v>
      </c>
    </row>
    <row r="51" spans="2:55" ht="11.25" customHeight="1">
      <c r="C51" s="1" t="s">
        <v>73</v>
      </c>
      <c r="D51" s="1" t="s">
        <v>74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U51" s="1">
        <v>2</v>
      </c>
      <c r="AV51" s="1">
        <v>3</v>
      </c>
      <c r="AW51" s="1">
        <v>9</v>
      </c>
      <c r="AY51" s="31">
        <f t="shared" si="10"/>
        <v>4.666666666666667</v>
      </c>
      <c r="AZ51" s="3" t="s">
        <v>22</v>
      </c>
      <c r="BA51" s="3" t="s">
        <v>22</v>
      </c>
      <c r="BC51" s="33"/>
    </row>
    <row r="52" spans="2:55" ht="11.25" customHeight="1">
      <c r="C52" s="1" t="s">
        <v>75</v>
      </c>
      <c r="D52" s="1" t="s">
        <v>76</v>
      </c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Q52" s="1">
        <v>0</v>
      </c>
      <c r="AR52" s="1">
        <v>1</v>
      </c>
      <c r="AS52" s="1">
        <v>8</v>
      </c>
      <c r="AT52" s="1">
        <v>7</v>
      </c>
      <c r="AU52" s="1">
        <v>5</v>
      </c>
      <c r="AV52" s="1">
        <v>11</v>
      </c>
      <c r="AW52" s="1">
        <v>12</v>
      </c>
      <c r="AY52" s="31">
        <f t="shared" si="10"/>
        <v>9.3333333333333339</v>
      </c>
      <c r="AZ52" s="5">
        <f>IF(SUM(AS52:AW52)&gt;=0,AVERAGE(AS52:AW52),"")</f>
        <v>8.6</v>
      </c>
      <c r="BA52" s="3" t="s">
        <v>22</v>
      </c>
      <c r="BC52" s="33"/>
    </row>
    <row r="53" spans="2:55" ht="11.25" customHeight="1">
      <c r="D53" s="1" t="s">
        <v>74</v>
      </c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U53" s="1">
        <v>0</v>
      </c>
      <c r="AV53" s="1">
        <v>1</v>
      </c>
      <c r="AW53" s="1">
        <v>3</v>
      </c>
      <c r="AY53" s="31">
        <f t="shared" si="10"/>
        <v>1.3333333333333333</v>
      </c>
      <c r="AZ53" s="3" t="s">
        <v>22</v>
      </c>
      <c r="BA53" s="3" t="s">
        <v>22</v>
      </c>
      <c r="BC53" s="33"/>
    </row>
    <row r="54" spans="2:55" ht="11.25" customHeight="1">
      <c r="D54" s="1" t="s">
        <v>77</v>
      </c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U54" s="1">
        <v>0</v>
      </c>
      <c r="AV54" s="1">
        <v>1</v>
      </c>
      <c r="AW54" s="1">
        <v>2</v>
      </c>
      <c r="AY54" s="31">
        <f t="shared" si="10"/>
        <v>1</v>
      </c>
      <c r="AZ54" s="3" t="s">
        <v>22</v>
      </c>
      <c r="BA54" s="3" t="s">
        <v>22</v>
      </c>
      <c r="BC54" s="33"/>
    </row>
    <row r="55" spans="2:55" ht="11.25" customHeight="1">
      <c r="C55" s="1" t="s">
        <v>78</v>
      </c>
      <c r="D55" s="1" t="s">
        <v>36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S55" s="1">
        <v>0</v>
      </c>
      <c r="AT55" s="1">
        <v>0</v>
      </c>
      <c r="AU55" s="1">
        <v>3</v>
      </c>
      <c r="AV55" s="1">
        <v>2</v>
      </c>
      <c r="AW55" s="1">
        <v>3</v>
      </c>
      <c r="AY55" s="31">
        <f t="shared" si="10"/>
        <v>2.6666666666666665</v>
      </c>
      <c r="AZ55" s="5">
        <f>IF(SUM(AS55:AW55)&gt;=0,AVERAGE(AS55:AW55),"")</f>
        <v>1.6</v>
      </c>
      <c r="BA55" s="3" t="s">
        <v>22</v>
      </c>
      <c r="BC55" s="33"/>
    </row>
    <row r="56" spans="2:55" ht="11.25" customHeight="1">
      <c r="D56" s="1" t="s">
        <v>79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U56" s="1">
        <v>0</v>
      </c>
      <c r="AV56" s="1">
        <v>4</v>
      </c>
      <c r="AW56" s="1">
        <v>3</v>
      </c>
      <c r="AY56" s="31">
        <f t="shared" si="10"/>
        <v>2.3333333333333335</v>
      </c>
      <c r="AZ56" s="3" t="s">
        <v>22</v>
      </c>
      <c r="BA56" s="3" t="s">
        <v>22</v>
      </c>
      <c r="BC56" s="33"/>
    </row>
    <row r="57" spans="2:55" ht="11.25" customHeight="1">
      <c r="C57" s="1" t="s">
        <v>80</v>
      </c>
      <c r="D57" s="1" t="s">
        <v>76</v>
      </c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R57" s="1">
        <v>0</v>
      </c>
      <c r="AS57" s="1">
        <v>0</v>
      </c>
      <c r="AT57" s="1">
        <v>0</v>
      </c>
      <c r="AU57" s="1">
        <v>0</v>
      </c>
      <c r="AV57" s="1">
        <v>2</v>
      </c>
      <c r="AW57" s="1">
        <v>1</v>
      </c>
      <c r="AY57" s="31">
        <f t="shared" ref="AY57:AY59" si="14">IF(SUM(AU57:AW57)&gt;=0,AVERAGE(AU57:AW57),"")</f>
        <v>1</v>
      </c>
      <c r="AZ57" s="5">
        <f t="shared" ref="AZ57:AZ58" si="15">IF(SUM(AS57:AW57)&gt;=0,AVERAGE(AS57:AW57),"")</f>
        <v>0.6</v>
      </c>
      <c r="BA57" s="3" t="s">
        <v>22</v>
      </c>
      <c r="BC57" s="33"/>
    </row>
    <row r="58" spans="2:55" ht="11.25" customHeight="1">
      <c r="C58" s="1" t="s">
        <v>81</v>
      </c>
      <c r="D58" s="1" t="s">
        <v>76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R58" s="1">
        <v>0</v>
      </c>
      <c r="AS58" s="1">
        <v>0</v>
      </c>
      <c r="AT58" s="1">
        <v>0</v>
      </c>
      <c r="AU58" s="1">
        <v>0</v>
      </c>
      <c r="AV58" s="1">
        <v>1</v>
      </c>
      <c r="AW58" s="1">
        <v>1</v>
      </c>
      <c r="AY58" s="31">
        <f t="shared" si="14"/>
        <v>0.66666666666666663</v>
      </c>
      <c r="AZ58" s="5">
        <f t="shared" si="15"/>
        <v>0.4</v>
      </c>
      <c r="BA58" s="3" t="s">
        <v>22</v>
      </c>
      <c r="BC58" s="33"/>
    </row>
    <row r="59" spans="2:55" ht="11.25" customHeight="1">
      <c r="C59" s="1" t="s">
        <v>82</v>
      </c>
      <c r="D59" s="1" t="s">
        <v>83</v>
      </c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U59" s="1">
        <v>0</v>
      </c>
      <c r="AV59" s="1">
        <v>1</v>
      </c>
      <c r="AW59" s="1">
        <v>0</v>
      </c>
      <c r="AY59" s="31">
        <f t="shared" si="14"/>
        <v>0.33333333333333331</v>
      </c>
      <c r="AZ59" s="3" t="s">
        <v>22</v>
      </c>
      <c r="BA59" s="3" t="s">
        <v>22</v>
      </c>
      <c r="BC59" s="33"/>
    </row>
    <row r="60" spans="2:55" ht="11.25" customHeight="1"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Y60" s="3"/>
      <c r="AZ60" s="3"/>
      <c r="BA60" s="3"/>
    </row>
    <row r="61" spans="2:55">
      <c r="B61" s="36" t="s">
        <v>84</v>
      </c>
      <c r="C61" s="1" t="s">
        <v>85</v>
      </c>
      <c r="D61" s="1" t="s">
        <v>86</v>
      </c>
      <c r="AT61" s="1">
        <v>0</v>
      </c>
      <c r="AU61" s="1">
        <v>0</v>
      </c>
      <c r="AV61" s="1">
        <v>1</v>
      </c>
      <c r="AW61" s="1">
        <v>0</v>
      </c>
      <c r="AY61" s="31">
        <f t="shared" ref="AY61:AY64" si="16">IF(SUM(AU61:AW61)&gt;=0,AVERAGE(AU61:AW61),"")</f>
        <v>0.33333333333333331</v>
      </c>
      <c r="AZ61" s="5">
        <f t="shared" ref="AZ61:AZ64" si="17">IF(SUM(AS61:AW61)&gt;=0,AVERAGE(AS61:AW61),"")</f>
        <v>0.25</v>
      </c>
      <c r="BA61" s="3" t="s">
        <v>22</v>
      </c>
      <c r="BC61" s="33"/>
    </row>
    <row r="62" spans="2:55" ht="11.25" customHeight="1">
      <c r="D62" s="1" t="s">
        <v>72</v>
      </c>
      <c r="E62" s="1">
        <v>83</v>
      </c>
      <c r="F62" s="1">
        <v>67</v>
      </c>
      <c r="G62" s="1">
        <v>65</v>
      </c>
      <c r="H62" s="1">
        <v>76</v>
      </c>
      <c r="I62" s="1">
        <v>61</v>
      </c>
      <c r="J62" s="1">
        <v>50</v>
      </c>
      <c r="K62" s="1">
        <v>50</v>
      </c>
      <c r="L62" s="1">
        <v>48</v>
      </c>
      <c r="M62" s="1">
        <v>34</v>
      </c>
      <c r="N62" s="1">
        <v>49</v>
      </c>
      <c r="O62" s="1">
        <v>49</v>
      </c>
      <c r="P62" s="1">
        <v>58</v>
      </c>
      <c r="Q62" s="1">
        <v>42</v>
      </c>
      <c r="R62" s="1">
        <v>68</v>
      </c>
      <c r="S62" s="1">
        <f>6+1+8+3+52</f>
        <v>70</v>
      </c>
      <c r="T62" s="1">
        <v>78</v>
      </c>
      <c r="U62" s="1">
        <v>87</v>
      </c>
      <c r="V62" s="1">
        <v>87</v>
      </c>
      <c r="W62" s="1">
        <v>109</v>
      </c>
      <c r="X62" s="1">
        <v>106</v>
      </c>
      <c r="Y62" s="1">
        <v>84</v>
      </c>
      <c r="Z62" s="1">
        <v>85</v>
      </c>
      <c r="AA62" s="1">
        <v>101</v>
      </c>
      <c r="AB62" s="1">
        <v>113</v>
      </c>
      <c r="AC62" s="1">
        <v>105</v>
      </c>
      <c r="AD62" s="1">
        <v>104</v>
      </c>
      <c r="AE62" s="1">
        <v>123</v>
      </c>
      <c r="AF62" s="1">
        <v>127</v>
      </c>
      <c r="AG62" s="1">
        <v>133</v>
      </c>
      <c r="AH62" s="1">
        <v>107</v>
      </c>
      <c r="AI62" s="1">
        <v>102</v>
      </c>
      <c r="AJ62" s="1">
        <v>102</v>
      </c>
      <c r="AK62" s="1">
        <v>122</v>
      </c>
      <c r="AL62" s="1">
        <v>118</v>
      </c>
      <c r="AM62" s="1">
        <v>97</v>
      </c>
      <c r="AN62" s="1">
        <v>126</v>
      </c>
      <c r="AO62" s="1">
        <v>123</v>
      </c>
      <c r="AP62" s="1">
        <v>149</v>
      </c>
      <c r="AQ62" s="1">
        <v>144</v>
      </c>
      <c r="AR62" s="1">
        <v>114</v>
      </c>
      <c r="AS62" s="1">
        <v>88</v>
      </c>
      <c r="AT62" s="1">
        <v>87</v>
      </c>
      <c r="AU62" s="1">
        <v>86</v>
      </c>
      <c r="AV62" s="1">
        <v>89</v>
      </c>
      <c r="AW62" s="1">
        <v>85</v>
      </c>
      <c r="AY62" s="31">
        <f t="shared" si="16"/>
        <v>86.666666666666671</v>
      </c>
      <c r="AZ62" s="5">
        <f t="shared" si="17"/>
        <v>87</v>
      </c>
      <c r="BA62" s="5">
        <f t="shared" ref="BA62:BA64" si="18">IF(SUM(AN62:AW62)&gt;=0,AVERAGE(AN62:AW62),"")</f>
        <v>109.1</v>
      </c>
      <c r="BB62" s="5"/>
      <c r="BC62" s="32">
        <f t="shared" ref="BC62:BC64" si="19">(AW62-BA62)/BA62</f>
        <v>-0.22089825847846009</v>
      </c>
    </row>
    <row r="63" spans="2:55" ht="11.25" customHeight="1">
      <c r="D63" s="1" t="s">
        <v>87</v>
      </c>
      <c r="I63" s="25" t="s">
        <v>29</v>
      </c>
      <c r="J63" s="25" t="s">
        <v>29</v>
      </c>
      <c r="K63" s="25" t="s">
        <v>29</v>
      </c>
      <c r="L63" s="25" t="s">
        <v>29</v>
      </c>
      <c r="M63" s="25" t="s">
        <v>29</v>
      </c>
      <c r="N63" s="25" t="s">
        <v>29</v>
      </c>
      <c r="O63" s="25" t="s">
        <v>29</v>
      </c>
      <c r="P63" s="1">
        <v>3</v>
      </c>
      <c r="Q63" s="1">
        <v>2</v>
      </c>
      <c r="R63" s="1">
        <v>6</v>
      </c>
      <c r="S63" s="1">
        <f>2+7</f>
        <v>9</v>
      </c>
      <c r="T63" s="1">
        <v>14</v>
      </c>
      <c r="U63" s="1">
        <v>10</v>
      </c>
      <c r="V63" s="1">
        <v>11</v>
      </c>
      <c r="W63" s="1">
        <v>12</v>
      </c>
      <c r="X63" s="1">
        <v>14</v>
      </c>
      <c r="Y63" s="1">
        <v>28</v>
      </c>
      <c r="Z63" s="1">
        <v>15</v>
      </c>
      <c r="AA63" s="1">
        <v>12</v>
      </c>
      <c r="AB63" s="1">
        <v>10</v>
      </c>
      <c r="AC63" s="1">
        <v>15</v>
      </c>
      <c r="AD63" s="1">
        <v>13</v>
      </c>
      <c r="AE63" s="1">
        <v>12</v>
      </c>
      <c r="AF63" s="1">
        <v>14</v>
      </c>
      <c r="AG63" s="1">
        <v>13</v>
      </c>
      <c r="AH63" s="1">
        <v>14</v>
      </c>
      <c r="AI63" s="1">
        <v>11</v>
      </c>
      <c r="AJ63" s="1">
        <v>11</v>
      </c>
      <c r="AK63" s="1">
        <v>12</v>
      </c>
      <c r="AL63" s="1">
        <v>12</v>
      </c>
      <c r="AM63" s="1">
        <v>20</v>
      </c>
      <c r="AN63" s="1">
        <v>14</v>
      </c>
      <c r="AO63" s="1">
        <v>14</v>
      </c>
      <c r="AP63" s="1">
        <v>10</v>
      </c>
      <c r="AQ63" s="1">
        <v>12</v>
      </c>
      <c r="AR63" s="1">
        <v>14</v>
      </c>
      <c r="AS63" s="1">
        <v>11</v>
      </c>
      <c r="AT63" s="1">
        <v>8</v>
      </c>
      <c r="AU63" s="1">
        <v>12</v>
      </c>
      <c r="AV63" s="1">
        <v>14</v>
      </c>
      <c r="AW63" s="1">
        <v>8</v>
      </c>
      <c r="AY63" s="31">
        <f t="shared" si="16"/>
        <v>11.333333333333334</v>
      </c>
      <c r="AZ63" s="5">
        <f t="shared" si="17"/>
        <v>10.6</v>
      </c>
      <c r="BA63" s="5">
        <f t="shared" si="18"/>
        <v>11.7</v>
      </c>
      <c r="BB63" s="5"/>
      <c r="BC63" s="32">
        <f t="shared" si="19"/>
        <v>-0.31623931623931617</v>
      </c>
    </row>
    <row r="64" spans="2:55" ht="11.25" customHeight="1">
      <c r="D64" s="1" t="s">
        <v>88</v>
      </c>
      <c r="I64" s="25" t="s">
        <v>29</v>
      </c>
      <c r="J64" s="25" t="s">
        <v>29</v>
      </c>
      <c r="K64" s="25" t="s">
        <v>29</v>
      </c>
      <c r="L64" s="25" t="s">
        <v>29</v>
      </c>
      <c r="M64" s="25" t="s">
        <v>29</v>
      </c>
      <c r="N64" s="25" t="s">
        <v>29</v>
      </c>
      <c r="O64" s="25" t="s">
        <v>29</v>
      </c>
      <c r="P64" s="25" t="s">
        <v>29</v>
      </c>
      <c r="Q64" s="25" t="s">
        <v>29</v>
      </c>
      <c r="R64" s="25" t="s">
        <v>29</v>
      </c>
      <c r="S64" s="25" t="s">
        <v>29</v>
      </c>
      <c r="T64" s="25" t="s">
        <v>29</v>
      </c>
      <c r="U64" s="25" t="s">
        <v>29</v>
      </c>
      <c r="V64" s="25" t="s">
        <v>29</v>
      </c>
      <c r="W64" s="25"/>
      <c r="X64" s="1">
        <v>0</v>
      </c>
      <c r="Y64" s="1">
        <v>0</v>
      </c>
      <c r="Z64" s="1">
        <v>0</v>
      </c>
      <c r="AA64" s="1">
        <v>0</v>
      </c>
      <c r="AB64" s="1">
        <v>2</v>
      </c>
      <c r="AC64" s="1">
        <v>2</v>
      </c>
      <c r="AD64" s="1">
        <v>3</v>
      </c>
      <c r="AE64" s="1">
        <v>3</v>
      </c>
      <c r="AF64" s="1">
        <v>3</v>
      </c>
      <c r="AG64" s="1">
        <v>3</v>
      </c>
      <c r="AH64" s="1">
        <v>5</v>
      </c>
      <c r="AI64" s="1">
        <v>3</v>
      </c>
      <c r="AJ64" s="1">
        <v>3</v>
      </c>
      <c r="AK64" s="1">
        <v>2</v>
      </c>
      <c r="AL64" s="1">
        <v>6</v>
      </c>
      <c r="AM64" s="1">
        <v>3</v>
      </c>
      <c r="AN64" s="1">
        <v>2</v>
      </c>
      <c r="AO64" s="1">
        <v>3</v>
      </c>
      <c r="AP64" s="1">
        <v>3</v>
      </c>
      <c r="AQ64" s="1">
        <v>4</v>
      </c>
      <c r="AR64" s="1">
        <v>3</v>
      </c>
      <c r="AS64" s="1">
        <v>5</v>
      </c>
      <c r="AT64" s="1">
        <v>4</v>
      </c>
      <c r="AU64" s="1">
        <v>1</v>
      </c>
      <c r="AV64" s="1">
        <v>3</v>
      </c>
      <c r="AW64" s="1">
        <v>1</v>
      </c>
      <c r="AY64" s="31">
        <f t="shared" si="16"/>
        <v>1.6666666666666667</v>
      </c>
      <c r="AZ64" s="5">
        <f t="shared" si="17"/>
        <v>2.8</v>
      </c>
      <c r="BA64" s="5">
        <f t="shared" si="18"/>
        <v>2.9</v>
      </c>
      <c r="BB64" s="5"/>
      <c r="BC64" s="32">
        <f t="shared" si="19"/>
        <v>-0.65517241379310343</v>
      </c>
    </row>
    <row r="65" spans="2:55" ht="11.25" customHeight="1"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4"/>
      <c r="AZ65" s="4"/>
      <c r="BA65" s="4"/>
    </row>
    <row r="66" spans="2:55" ht="11.25" customHeight="1">
      <c r="B66" s="36" t="s">
        <v>89</v>
      </c>
      <c r="C66" s="1" t="s">
        <v>90</v>
      </c>
      <c r="D66" s="1" t="s">
        <v>91</v>
      </c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1">
        <v>0</v>
      </c>
      <c r="AV66" s="1">
        <v>1</v>
      </c>
      <c r="AW66" s="1">
        <v>1</v>
      </c>
      <c r="AY66" s="31">
        <f t="shared" ref="AY66:AY72" si="20">IF(SUM(AU66:AW66)&gt;=0,AVERAGE(AU66:AW66),"")</f>
        <v>0.66666666666666663</v>
      </c>
      <c r="AZ66" s="3" t="s">
        <v>22</v>
      </c>
      <c r="BA66" s="3" t="s">
        <v>22</v>
      </c>
      <c r="BC66" s="33"/>
    </row>
    <row r="67" spans="2:55" ht="11.25" customHeight="1">
      <c r="D67" s="1" t="s">
        <v>92</v>
      </c>
      <c r="AT67" s="1">
        <v>0</v>
      </c>
      <c r="AU67" s="1">
        <v>3</v>
      </c>
      <c r="AV67" s="1">
        <v>4</v>
      </c>
      <c r="AW67" s="1">
        <v>0</v>
      </c>
      <c r="AY67" s="31">
        <f t="shared" si="20"/>
        <v>2.3333333333333335</v>
      </c>
      <c r="AZ67" s="3" t="s">
        <v>22</v>
      </c>
      <c r="BA67" s="3" t="s">
        <v>22</v>
      </c>
      <c r="BC67" s="33"/>
    </row>
    <row r="68" spans="2:55" ht="11.25" customHeight="1">
      <c r="C68" s="1" t="s">
        <v>93</v>
      </c>
      <c r="D68" s="1" t="s">
        <v>94</v>
      </c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1">
        <v>0</v>
      </c>
      <c r="AP68" s="1">
        <v>3</v>
      </c>
      <c r="AQ68" s="1">
        <v>3</v>
      </c>
      <c r="AR68" s="1">
        <v>5</v>
      </c>
      <c r="AS68" s="1">
        <v>0</v>
      </c>
      <c r="AT68" s="1">
        <v>7</v>
      </c>
      <c r="AU68" s="1">
        <v>4</v>
      </c>
      <c r="AV68" s="1">
        <v>5</v>
      </c>
      <c r="AW68" s="1">
        <v>4</v>
      </c>
      <c r="AY68" s="31">
        <f t="shared" si="20"/>
        <v>4.333333333333333</v>
      </c>
      <c r="AZ68" s="5">
        <f t="shared" ref="AZ68:AZ70" si="21">IF(SUM(AS68:AW68)&gt;=0,AVERAGE(AS68:AW68),"")</f>
        <v>4</v>
      </c>
      <c r="BA68" s="3" t="s">
        <v>22</v>
      </c>
      <c r="BC68" s="33"/>
    </row>
    <row r="69" spans="2:55" ht="11.25" customHeight="1">
      <c r="C69" s="1" t="s">
        <v>95</v>
      </c>
      <c r="D69" s="1" t="s">
        <v>43</v>
      </c>
      <c r="E69" s="1">
        <v>20</v>
      </c>
      <c r="F69" s="1">
        <v>21</v>
      </c>
      <c r="G69" s="1">
        <v>13</v>
      </c>
      <c r="H69" s="1">
        <v>19</v>
      </c>
      <c r="I69" s="1">
        <v>18</v>
      </c>
      <c r="J69" s="1">
        <v>23</v>
      </c>
      <c r="K69" s="1">
        <v>18</v>
      </c>
      <c r="L69" s="1">
        <v>13</v>
      </c>
      <c r="M69" s="1">
        <v>11</v>
      </c>
      <c r="N69" s="1">
        <v>19</v>
      </c>
      <c r="O69" s="1">
        <v>15</v>
      </c>
      <c r="P69" s="1">
        <v>26</v>
      </c>
      <c r="Q69" s="1">
        <v>20</v>
      </c>
      <c r="R69" s="1">
        <v>26</v>
      </c>
      <c r="S69" s="1">
        <f>9+16</f>
        <v>25</v>
      </c>
      <c r="T69" s="1">
        <v>15</v>
      </c>
      <c r="U69" s="1">
        <v>18</v>
      </c>
      <c r="V69" s="1">
        <v>19</v>
      </c>
      <c r="W69" s="1">
        <v>22</v>
      </c>
      <c r="X69" s="1">
        <f>3+12</f>
        <v>15</v>
      </c>
      <c r="Y69" s="1">
        <f>6+11</f>
        <v>17</v>
      </c>
      <c r="Z69" s="1">
        <f>3+9</f>
        <v>12</v>
      </c>
      <c r="AA69" s="1">
        <v>15</v>
      </c>
      <c r="AB69" s="1">
        <v>7</v>
      </c>
      <c r="AC69" s="1">
        <v>16</v>
      </c>
      <c r="AD69" s="1">
        <v>9</v>
      </c>
      <c r="AE69" s="1">
        <v>14</v>
      </c>
      <c r="AF69" s="1">
        <v>23</v>
      </c>
      <c r="AG69" s="1">
        <v>24</v>
      </c>
      <c r="AH69" s="1">
        <v>24</v>
      </c>
      <c r="AI69" s="1">
        <v>24</v>
      </c>
      <c r="AJ69" s="1">
        <v>21</v>
      </c>
      <c r="AK69" s="1">
        <v>18</v>
      </c>
      <c r="AL69" s="1">
        <v>33</v>
      </c>
      <c r="AM69" s="1">
        <v>19</v>
      </c>
      <c r="AN69" s="1">
        <v>21</v>
      </c>
      <c r="AO69" s="1">
        <v>29</v>
      </c>
      <c r="AP69" s="1">
        <v>28</v>
      </c>
      <c r="AQ69" s="1">
        <v>20</v>
      </c>
      <c r="AR69" s="1">
        <v>24</v>
      </c>
      <c r="AS69" s="1">
        <v>18</v>
      </c>
      <c r="AT69" s="1">
        <v>22</v>
      </c>
      <c r="AU69" s="1">
        <v>18</v>
      </c>
      <c r="AV69" s="1">
        <v>22</v>
      </c>
      <c r="AW69" s="1">
        <v>13</v>
      </c>
      <c r="AY69" s="31">
        <f t="shared" si="20"/>
        <v>17.666666666666668</v>
      </c>
      <c r="AZ69" s="5">
        <f t="shared" si="21"/>
        <v>18.600000000000001</v>
      </c>
      <c r="BA69" s="5">
        <f t="shared" ref="BA69:BA70" si="22">IF(SUM(AN69:AW69)&gt;=0,AVERAGE(AN69:AW69),"")</f>
        <v>21.5</v>
      </c>
      <c r="BB69" s="5"/>
      <c r="BC69" s="32">
        <f t="shared" ref="BC69:BC70" si="23">(AW69-BA69)/BA69</f>
        <v>-0.39534883720930231</v>
      </c>
    </row>
    <row r="70" spans="2:55" ht="11.25" customHeight="1">
      <c r="D70" s="1" t="s">
        <v>96</v>
      </c>
      <c r="E70" s="1">
        <v>3</v>
      </c>
      <c r="F70" s="1">
        <v>7</v>
      </c>
      <c r="G70" s="1">
        <v>2</v>
      </c>
      <c r="H70" s="1">
        <v>7</v>
      </c>
      <c r="I70" s="1">
        <v>4</v>
      </c>
      <c r="J70" s="1">
        <v>4</v>
      </c>
      <c r="K70" s="1">
        <v>7</v>
      </c>
      <c r="L70" s="1">
        <v>4</v>
      </c>
      <c r="M70" s="1">
        <v>2</v>
      </c>
      <c r="N70" s="1">
        <v>1</v>
      </c>
      <c r="O70" s="1">
        <v>2</v>
      </c>
      <c r="P70" s="1">
        <v>10</v>
      </c>
      <c r="Q70" s="1">
        <v>1</v>
      </c>
      <c r="R70" s="1">
        <v>2</v>
      </c>
      <c r="S70" s="1">
        <v>5</v>
      </c>
      <c r="T70" s="1">
        <v>3</v>
      </c>
      <c r="U70" s="1">
        <v>9</v>
      </c>
      <c r="V70" s="1">
        <v>6</v>
      </c>
      <c r="W70" s="1">
        <v>7</v>
      </c>
      <c r="X70" s="1">
        <v>8</v>
      </c>
      <c r="Y70" s="1">
        <v>8</v>
      </c>
      <c r="Z70" s="1">
        <v>7</v>
      </c>
      <c r="AA70" s="1">
        <v>8</v>
      </c>
      <c r="AB70" s="1">
        <v>4</v>
      </c>
      <c r="AC70" s="1">
        <v>14</v>
      </c>
      <c r="AD70" s="1">
        <v>6</v>
      </c>
      <c r="AE70" s="1">
        <v>7</v>
      </c>
      <c r="AF70" s="1">
        <v>13</v>
      </c>
      <c r="AG70" s="1">
        <v>11</v>
      </c>
      <c r="AH70" s="1">
        <v>7</v>
      </c>
      <c r="AI70" s="1">
        <v>8</v>
      </c>
      <c r="AJ70" s="1">
        <v>7</v>
      </c>
      <c r="AK70" s="1">
        <v>2</v>
      </c>
      <c r="AL70" s="1">
        <v>14</v>
      </c>
      <c r="AM70" s="1">
        <v>11</v>
      </c>
      <c r="AN70" s="1">
        <v>4</v>
      </c>
      <c r="AO70" s="1">
        <v>5</v>
      </c>
      <c r="AP70" s="1">
        <v>3</v>
      </c>
      <c r="AQ70" s="1">
        <v>12</v>
      </c>
      <c r="AR70" s="1">
        <v>11</v>
      </c>
      <c r="AS70" s="1">
        <v>4</v>
      </c>
      <c r="AT70" s="1">
        <v>10</v>
      </c>
      <c r="AU70" s="1">
        <v>8</v>
      </c>
      <c r="AV70" s="1">
        <v>5</v>
      </c>
      <c r="AW70" s="1">
        <v>3</v>
      </c>
      <c r="AY70" s="31">
        <f t="shared" si="20"/>
        <v>5.333333333333333</v>
      </c>
      <c r="AZ70" s="5">
        <f t="shared" si="21"/>
        <v>6</v>
      </c>
      <c r="BA70" s="5">
        <f t="shared" si="22"/>
        <v>6.5</v>
      </c>
      <c r="BB70" s="5"/>
      <c r="BC70" s="32">
        <f t="shared" si="23"/>
        <v>-0.53846153846153844</v>
      </c>
    </row>
    <row r="71" spans="2:55" ht="11.25" customHeight="1">
      <c r="AY71" s="5"/>
      <c r="AZ71" s="5"/>
      <c r="BA71" s="5"/>
      <c r="BB71" s="5"/>
      <c r="BC71" s="4"/>
    </row>
    <row r="72" spans="2:55" ht="11.25" customHeight="1">
      <c r="B72" s="36" t="s">
        <v>97</v>
      </c>
      <c r="C72" s="1" t="s">
        <v>98</v>
      </c>
      <c r="D72" s="1" t="s">
        <v>99</v>
      </c>
      <c r="AU72" s="1">
        <v>0</v>
      </c>
      <c r="AV72" s="1">
        <v>7</v>
      </c>
      <c r="AW72" s="1">
        <v>8</v>
      </c>
      <c r="AY72" s="31">
        <f t="shared" si="20"/>
        <v>5</v>
      </c>
      <c r="AZ72" s="3" t="s">
        <v>22</v>
      </c>
      <c r="BA72" s="3" t="s">
        <v>22</v>
      </c>
      <c r="BC72" s="33"/>
    </row>
    <row r="73" spans="2:55" ht="11.25" customHeight="1">
      <c r="D73" s="1" t="s">
        <v>100</v>
      </c>
      <c r="I73" s="25" t="s">
        <v>29</v>
      </c>
      <c r="J73" s="25" t="s">
        <v>29</v>
      </c>
      <c r="K73" s="25" t="s">
        <v>29</v>
      </c>
      <c r="L73" s="25" t="s">
        <v>29</v>
      </c>
      <c r="M73" s="25" t="s">
        <v>29</v>
      </c>
      <c r="N73" s="25" t="s">
        <v>29</v>
      </c>
      <c r="O73" s="25" t="s">
        <v>29</v>
      </c>
      <c r="P73" s="25" t="s">
        <v>29</v>
      </c>
      <c r="Q73" s="25" t="s">
        <v>29</v>
      </c>
      <c r="R73" s="25" t="s">
        <v>29</v>
      </c>
      <c r="S73" s="25" t="s">
        <v>29</v>
      </c>
      <c r="T73" s="25" t="s">
        <v>29</v>
      </c>
      <c r="U73" s="25" t="s">
        <v>29</v>
      </c>
      <c r="V73" s="25" t="s">
        <v>29</v>
      </c>
      <c r="W73" s="25"/>
      <c r="X73" s="25"/>
      <c r="Y73" s="1">
        <v>4</v>
      </c>
      <c r="Z73" s="1">
        <v>8</v>
      </c>
      <c r="AA73" s="1">
        <v>6</v>
      </c>
      <c r="AB73" s="1">
        <v>8</v>
      </c>
      <c r="AC73" s="1">
        <v>5</v>
      </c>
      <c r="AD73" s="1">
        <v>11</v>
      </c>
      <c r="AE73" s="1">
        <v>7</v>
      </c>
      <c r="AF73" s="1">
        <v>10</v>
      </c>
      <c r="AG73" s="1">
        <v>6</v>
      </c>
      <c r="AH73" s="1">
        <v>14</v>
      </c>
      <c r="AI73" s="1">
        <v>13</v>
      </c>
      <c r="AJ73" s="1">
        <v>6</v>
      </c>
      <c r="AK73" s="1">
        <v>15</v>
      </c>
      <c r="AL73" s="1">
        <v>7</v>
      </c>
      <c r="AM73" s="1">
        <v>15</v>
      </c>
      <c r="AN73" s="1">
        <v>15</v>
      </c>
      <c r="AO73" s="1">
        <v>11</v>
      </c>
      <c r="AP73" s="1">
        <v>13</v>
      </c>
      <c r="AQ73" s="1">
        <v>7</v>
      </c>
      <c r="AR73" s="1">
        <v>6</v>
      </c>
      <c r="AS73" s="1">
        <v>12</v>
      </c>
      <c r="AT73" s="1">
        <v>7</v>
      </c>
      <c r="AU73" s="1">
        <v>10</v>
      </c>
      <c r="AV73" s="1">
        <v>6</v>
      </c>
      <c r="AW73" s="1">
        <v>4</v>
      </c>
      <c r="AY73" s="31">
        <f t="shared" ref="AY73:AY76" si="24">IF(SUM(AU73:AW73)&gt;=0,AVERAGE(AU73:AW73),"")</f>
        <v>6.666666666666667</v>
      </c>
      <c r="AZ73" s="5">
        <f t="shared" ref="AZ73:AZ75" si="25">IF(SUM(AS73:AW73)&gt;=0,AVERAGE(AS73:AW73),"")</f>
        <v>7.8</v>
      </c>
      <c r="BA73" s="5">
        <f t="shared" ref="BA73:BA75" si="26">IF(SUM(AN73:AW73)&gt;=0,AVERAGE(AN73:AW73),"")</f>
        <v>9.1</v>
      </c>
      <c r="BB73" s="5"/>
      <c r="BC73" s="32">
        <f t="shared" ref="BC73:BC75" si="27">(AW73-BA73)/BA73</f>
        <v>-0.56043956043956045</v>
      </c>
    </row>
    <row r="74" spans="2:55" ht="11.25" customHeight="1">
      <c r="C74" s="1" t="s">
        <v>101</v>
      </c>
      <c r="D74" s="1" t="s">
        <v>34</v>
      </c>
      <c r="E74" s="1">
        <v>50</v>
      </c>
      <c r="F74" s="1">
        <v>38</v>
      </c>
      <c r="G74" s="1">
        <v>39</v>
      </c>
      <c r="H74" s="1">
        <v>35</v>
      </c>
      <c r="I74" s="1">
        <v>30</v>
      </c>
      <c r="J74" s="1">
        <v>27</v>
      </c>
      <c r="K74" s="1">
        <v>34</v>
      </c>
      <c r="L74" s="1">
        <v>37</v>
      </c>
      <c r="M74" s="1">
        <v>32</v>
      </c>
      <c r="N74" s="1">
        <v>26</v>
      </c>
      <c r="O74" s="1">
        <v>47</v>
      </c>
      <c r="P74" s="1">
        <v>34</v>
      </c>
      <c r="Q74" s="1">
        <v>33</v>
      </c>
      <c r="R74" s="1">
        <v>38</v>
      </c>
      <c r="S74" s="1">
        <v>34</v>
      </c>
      <c r="T74" s="1">
        <v>49</v>
      </c>
      <c r="U74" s="1">
        <v>41</v>
      </c>
      <c r="V74" s="1">
        <v>38</v>
      </c>
      <c r="W74" s="1">
        <v>34</v>
      </c>
      <c r="X74" s="1">
        <v>40</v>
      </c>
      <c r="Y74" s="1">
        <v>52</v>
      </c>
      <c r="Z74" s="1">
        <v>52</v>
      </c>
      <c r="AA74" s="1">
        <v>32</v>
      </c>
      <c r="AB74" s="1">
        <v>45</v>
      </c>
      <c r="AC74" s="1">
        <v>54</v>
      </c>
      <c r="AD74" s="1">
        <v>51</v>
      </c>
      <c r="AE74" s="1">
        <v>47</v>
      </c>
      <c r="AF74" s="1">
        <v>45</v>
      </c>
      <c r="AG74" s="1">
        <v>47</v>
      </c>
      <c r="AH74" s="1">
        <v>49</v>
      </c>
      <c r="AI74" s="1">
        <v>60</v>
      </c>
      <c r="AJ74" s="1">
        <v>51</v>
      </c>
      <c r="AK74" s="1">
        <v>43</v>
      </c>
      <c r="AL74" s="1">
        <v>39</v>
      </c>
      <c r="AM74" s="1">
        <v>36</v>
      </c>
      <c r="AN74" s="1">
        <v>44</v>
      </c>
      <c r="AO74" s="1">
        <v>44</v>
      </c>
      <c r="AP74" s="1">
        <v>43</v>
      </c>
      <c r="AQ74" s="1">
        <v>42</v>
      </c>
      <c r="AR74" s="1">
        <v>25</v>
      </c>
      <c r="AS74" s="1">
        <v>27</v>
      </c>
      <c r="AT74" s="1">
        <v>36</v>
      </c>
      <c r="AU74" s="1">
        <v>39</v>
      </c>
      <c r="AV74" s="1">
        <v>33</v>
      </c>
      <c r="AW74" s="1">
        <v>28</v>
      </c>
      <c r="AY74" s="31">
        <f t="shared" si="24"/>
        <v>33.333333333333336</v>
      </c>
      <c r="AZ74" s="5">
        <f t="shared" si="25"/>
        <v>32.6</v>
      </c>
      <c r="BA74" s="5">
        <f t="shared" si="26"/>
        <v>36.1</v>
      </c>
      <c r="BB74" s="5"/>
      <c r="BC74" s="32">
        <f t="shared" si="27"/>
        <v>-0.22437673130193908</v>
      </c>
    </row>
    <row r="75" spans="2:55" ht="11.25" customHeight="1">
      <c r="D75" s="1" t="s">
        <v>96</v>
      </c>
      <c r="E75" s="1">
        <v>13</v>
      </c>
      <c r="F75" s="1">
        <v>11</v>
      </c>
      <c r="G75" s="1">
        <v>5</v>
      </c>
      <c r="H75" s="1">
        <v>8</v>
      </c>
      <c r="I75" s="1">
        <v>3</v>
      </c>
      <c r="J75" s="1">
        <v>10</v>
      </c>
      <c r="K75" s="1">
        <v>3</v>
      </c>
      <c r="L75" s="1">
        <v>9</v>
      </c>
      <c r="M75" s="1">
        <v>3</v>
      </c>
      <c r="N75" s="1">
        <v>4</v>
      </c>
      <c r="O75" s="1">
        <v>10</v>
      </c>
      <c r="P75" s="1">
        <v>6</v>
      </c>
      <c r="Q75" s="1">
        <v>10</v>
      </c>
      <c r="R75" s="1">
        <v>7</v>
      </c>
      <c r="S75" s="1">
        <f>9+1</f>
        <v>10</v>
      </c>
      <c r="T75" s="1">
        <v>19</v>
      </c>
      <c r="U75" s="1">
        <v>12</v>
      </c>
      <c r="V75" s="1">
        <v>14</v>
      </c>
      <c r="W75" s="1">
        <v>12</v>
      </c>
      <c r="X75" s="1">
        <v>7</v>
      </c>
      <c r="Y75" s="1">
        <v>9</v>
      </c>
      <c r="Z75" s="1">
        <v>10</v>
      </c>
      <c r="AA75" s="1">
        <v>8</v>
      </c>
      <c r="AB75" s="1">
        <v>11</v>
      </c>
      <c r="AC75" s="1">
        <v>12</v>
      </c>
      <c r="AD75" s="1">
        <v>9</v>
      </c>
      <c r="AE75" s="1">
        <v>13</v>
      </c>
      <c r="AF75" s="1">
        <v>13</v>
      </c>
      <c r="AG75" s="1">
        <v>15</v>
      </c>
      <c r="AH75" s="1">
        <v>10</v>
      </c>
      <c r="AI75" s="1">
        <v>20</v>
      </c>
      <c r="AJ75" s="1">
        <v>17</v>
      </c>
      <c r="AK75" s="1">
        <v>25</v>
      </c>
      <c r="AL75" s="1">
        <v>28</v>
      </c>
      <c r="AM75" s="1">
        <v>24</v>
      </c>
      <c r="AN75" s="1">
        <v>14</v>
      </c>
      <c r="AO75" s="1">
        <v>21</v>
      </c>
      <c r="AP75" s="1">
        <v>20</v>
      </c>
      <c r="AQ75" s="1">
        <v>17</v>
      </c>
      <c r="AR75" s="1">
        <v>15</v>
      </c>
      <c r="AS75" s="1">
        <v>17</v>
      </c>
      <c r="AT75" s="1">
        <v>6</v>
      </c>
      <c r="AU75" s="1">
        <v>8</v>
      </c>
      <c r="AV75" s="1">
        <v>13</v>
      </c>
      <c r="AW75" s="1">
        <v>8</v>
      </c>
      <c r="AY75" s="31">
        <f t="shared" si="24"/>
        <v>9.6666666666666661</v>
      </c>
      <c r="AZ75" s="5">
        <f t="shared" si="25"/>
        <v>10.4</v>
      </c>
      <c r="BA75" s="5">
        <f t="shared" si="26"/>
        <v>13.9</v>
      </c>
      <c r="BB75" s="5"/>
      <c r="BC75" s="32">
        <f t="shared" si="27"/>
        <v>-0.42446043165467628</v>
      </c>
    </row>
    <row r="76" spans="2:55" ht="11.25" customHeight="1">
      <c r="C76" s="1" t="s">
        <v>102</v>
      </c>
      <c r="D76" s="1" t="s">
        <v>99</v>
      </c>
      <c r="AU76" s="1">
        <v>0</v>
      </c>
      <c r="AV76" s="1">
        <v>14</v>
      </c>
      <c r="AW76" s="1">
        <v>12</v>
      </c>
      <c r="AY76" s="31">
        <f t="shared" si="24"/>
        <v>8.6666666666666661</v>
      </c>
      <c r="AZ76" s="3" t="s">
        <v>22</v>
      </c>
      <c r="BA76" s="3" t="s">
        <v>22</v>
      </c>
      <c r="BC76" s="33"/>
    </row>
    <row r="77" spans="2:55" ht="11.25" customHeight="1">
      <c r="C77" s="1" t="s">
        <v>103</v>
      </c>
      <c r="D77" s="1" t="s">
        <v>104</v>
      </c>
      <c r="K77" s="25" t="s">
        <v>29</v>
      </c>
      <c r="L77" s="25" t="s">
        <v>29</v>
      </c>
      <c r="M77" s="25" t="s">
        <v>29</v>
      </c>
      <c r="N77" s="25" t="s">
        <v>29</v>
      </c>
      <c r="O77" s="25" t="s">
        <v>29</v>
      </c>
      <c r="P77" s="25" t="s">
        <v>29</v>
      </c>
      <c r="Q77" s="25" t="s">
        <v>29</v>
      </c>
      <c r="R77" s="25" t="s">
        <v>29</v>
      </c>
      <c r="S77" s="25" t="s">
        <v>29</v>
      </c>
      <c r="T77" s="25" t="s">
        <v>29</v>
      </c>
      <c r="U77" s="25" t="s">
        <v>29</v>
      </c>
      <c r="V77" s="25" t="s">
        <v>29</v>
      </c>
      <c r="W77" s="25"/>
      <c r="X77" s="25"/>
      <c r="Y77" s="25"/>
      <c r="Z77" s="25"/>
      <c r="AA77" s="25"/>
      <c r="AB77" s="25"/>
      <c r="AC77" s="25"/>
      <c r="AD77" s="25">
        <v>0</v>
      </c>
      <c r="AE77" s="1">
        <v>1</v>
      </c>
      <c r="AF77" s="1">
        <v>1</v>
      </c>
      <c r="AG77" s="25">
        <v>2</v>
      </c>
      <c r="AH77" s="25">
        <v>5</v>
      </c>
      <c r="AI77" s="25">
        <v>1</v>
      </c>
      <c r="AJ77" s="25">
        <v>4</v>
      </c>
      <c r="AK77" s="25">
        <v>5</v>
      </c>
      <c r="AL77" s="25">
        <v>3</v>
      </c>
      <c r="AM77" s="25">
        <v>9</v>
      </c>
      <c r="AN77" s="25">
        <v>4</v>
      </c>
      <c r="AO77" s="25">
        <v>2</v>
      </c>
      <c r="AP77" s="25">
        <v>4</v>
      </c>
      <c r="AQ77" s="25">
        <v>2</v>
      </c>
      <c r="AR77" s="25">
        <v>4</v>
      </c>
      <c r="AS77" s="25">
        <v>1</v>
      </c>
      <c r="AT77" s="25">
        <v>4</v>
      </c>
      <c r="AU77" s="25">
        <v>3</v>
      </c>
      <c r="AV77" s="25">
        <v>1</v>
      </c>
      <c r="AW77" s="25">
        <v>5</v>
      </c>
      <c r="AY77" s="31">
        <f>IF(SUM(AU77:AW77)&gt;=0,AVERAGE(AU77:AW77),"")</f>
        <v>3</v>
      </c>
      <c r="AZ77" s="5">
        <f>IF(SUM(AS77:AW77)&gt;=0,AVERAGE(AS77:AW77),"")</f>
        <v>2.8</v>
      </c>
      <c r="BA77" s="5">
        <f>IF(SUM(AN77:AW77)&gt;=0,AVERAGE(AN77:AW77),"")</f>
        <v>3</v>
      </c>
      <c r="BB77" s="5"/>
      <c r="BC77" s="32">
        <f>(AW77-BA77)/BA77</f>
        <v>0.66666666666666663</v>
      </c>
    </row>
    <row r="78" spans="2:55" ht="11.25" customHeight="1">
      <c r="C78" s="1" t="s">
        <v>105</v>
      </c>
      <c r="D78" s="1" t="s">
        <v>59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>
        <v>1</v>
      </c>
      <c r="AT78" s="25">
        <v>1</v>
      </c>
      <c r="AU78" s="25">
        <v>0</v>
      </c>
      <c r="AV78" s="25">
        <v>2</v>
      </c>
      <c r="AW78" s="25">
        <v>1</v>
      </c>
      <c r="AY78" s="31">
        <f>IF(SUM(AU78:AW78)&gt;=0,AVERAGE(AU78:AW78),"")</f>
        <v>1</v>
      </c>
      <c r="AZ78" s="5">
        <f>IF(SUM(AS78:AW78)&gt;=0,AVERAGE(AS78:AW78),"")</f>
        <v>1</v>
      </c>
      <c r="BA78" s="3" t="s">
        <v>22</v>
      </c>
      <c r="BC78" s="33"/>
    </row>
    <row r="79" spans="2:55" ht="11.25" customHeight="1">
      <c r="AY79" s="4"/>
      <c r="AZ79" s="4"/>
      <c r="BA79" s="4"/>
    </row>
    <row r="80" spans="2:55" ht="11.25" customHeight="1">
      <c r="B80" s="36" t="s">
        <v>112</v>
      </c>
      <c r="C80" s="1" t="s">
        <v>113</v>
      </c>
      <c r="D80" s="1" t="s">
        <v>34</v>
      </c>
      <c r="E80" s="1">
        <v>14</v>
      </c>
      <c r="F80" s="1">
        <v>32</v>
      </c>
      <c r="G80" s="1">
        <v>25</v>
      </c>
      <c r="H80" s="1">
        <v>16</v>
      </c>
      <c r="I80" s="1">
        <v>17</v>
      </c>
      <c r="J80" s="1">
        <v>12</v>
      </c>
      <c r="K80" s="1">
        <v>21</v>
      </c>
      <c r="L80" s="1">
        <v>15</v>
      </c>
      <c r="M80" s="1">
        <v>14</v>
      </c>
      <c r="N80" s="1">
        <v>20</v>
      </c>
      <c r="O80" s="1">
        <v>22</v>
      </c>
      <c r="P80" s="1">
        <v>18</v>
      </c>
      <c r="Q80" s="1">
        <v>19</v>
      </c>
      <c r="R80" s="1">
        <v>18</v>
      </c>
      <c r="S80" s="1">
        <v>25</v>
      </c>
      <c r="T80" s="1">
        <v>23</v>
      </c>
      <c r="U80" s="1">
        <v>21</v>
      </c>
      <c r="V80" s="1">
        <v>28</v>
      </c>
      <c r="W80" s="1">
        <v>13</v>
      </c>
      <c r="X80" s="1">
        <v>24</v>
      </c>
      <c r="Y80" s="1">
        <v>20</v>
      </c>
      <c r="Z80" s="1">
        <v>20</v>
      </c>
      <c r="AA80" s="1">
        <v>20</v>
      </c>
      <c r="AB80" s="1">
        <v>18</v>
      </c>
      <c r="AC80" s="1">
        <v>31</v>
      </c>
      <c r="AD80" s="1">
        <v>21</v>
      </c>
      <c r="AE80" s="1">
        <v>22</v>
      </c>
      <c r="AF80" s="1">
        <v>26</v>
      </c>
      <c r="AG80" s="1">
        <v>33</v>
      </c>
      <c r="AH80" s="1">
        <v>30</v>
      </c>
      <c r="AI80" s="1">
        <v>28</v>
      </c>
      <c r="AJ80" s="1">
        <v>26</v>
      </c>
      <c r="AK80" s="1">
        <v>31</v>
      </c>
      <c r="AL80" s="1">
        <v>22</v>
      </c>
      <c r="AM80" s="1">
        <v>33</v>
      </c>
      <c r="AN80" s="1">
        <v>20</v>
      </c>
      <c r="AO80" s="1">
        <v>33</v>
      </c>
      <c r="AP80" s="1">
        <v>34</v>
      </c>
      <c r="AQ80" s="1">
        <v>27</v>
      </c>
      <c r="AR80" s="1">
        <v>28</v>
      </c>
      <c r="AS80" s="1">
        <v>24</v>
      </c>
      <c r="AT80" s="1">
        <v>19</v>
      </c>
      <c r="AU80" s="1">
        <v>24</v>
      </c>
      <c r="AV80" s="1">
        <v>28</v>
      </c>
      <c r="AW80" s="1">
        <v>21</v>
      </c>
      <c r="AY80" s="31">
        <f>IF(SUM(AU80:AW80)&gt;=0,AVERAGE(AU80:AW80),"")</f>
        <v>24.333333333333332</v>
      </c>
      <c r="AZ80" s="5">
        <f>IF(SUM(AS80:AW80)&gt;=0,AVERAGE(AS80:AW80),"")</f>
        <v>23.2</v>
      </c>
      <c r="BA80" s="5">
        <f>IF(SUM(AN80:AW80)&gt;=0,AVERAGE(AN80:AW80),"")</f>
        <v>25.8</v>
      </c>
      <c r="BB80" s="5"/>
      <c r="BC80" s="32">
        <f>(AW80-BA80)/BA80</f>
        <v>-0.186046511627907</v>
      </c>
    </row>
    <row r="81" spans="2:55" ht="11.25" customHeight="1">
      <c r="D81" s="1" t="s">
        <v>96</v>
      </c>
      <c r="E81" s="1">
        <v>6</v>
      </c>
      <c r="F81" s="1">
        <v>1</v>
      </c>
      <c r="G81" s="1">
        <v>5</v>
      </c>
      <c r="H81" s="1">
        <v>4</v>
      </c>
      <c r="I81" s="1">
        <v>8</v>
      </c>
      <c r="J81" s="1">
        <v>3</v>
      </c>
      <c r="K81" s="1">
        <v>6</v>
      </c>
      <c r="L81" s="1">
        <v>4</v>
      </c>
      <c r="M81" s="1">
        <v>5</v>
      </c>
      <c r="N81" s="1">
        <v>2</v>
      </c>
      <c r="O81" s="1">
        <v>4</v>
      </c>
      <c r="P81" s="1">
        <v>2</v>
      </c>
      <c r="Q81" s="1">
        <v>4</v>
      </c>
      <c r="R81" s="1">
        <v>8</v>
      </c>
      <c r="S81" s="1">
        <v>5</v>
      </c>
      <c r="T81" s="1">
        <v>7</v>
      </c>
      <c r="U81" s="1">
        <v>8</v>
      </c>
      <c r="V81" s="1">
        <v>11</v>
      </c>
      <c r="W81" s="1">
        <v>11</v>
      </c>
      <c r="X81" s="1">
        <v>6</v>
      </c>
      <c r="Y81" s="1">
        <v>6</v>
      </c>
      <c r="Z81" s="1">
        <v>3</v>
      </c>
      <c r="AA81" s="1">
        <v>10</v>
      </c>
      <c r="AB81" s="1">
        <v>17</v>
      </c>
      <c r="AC81" s="1">
        <v>11</v>
      </c>
      <c r="AD81" s="1">
        <v>21</v>
      </c>
      <c r="AE81" s="1">
        <v>19</v>
      </c>
      <c r="AF81" s="1">
        <v>15</v>
      </c>
      <c r="AG81" s="1">
        <v>20</v>
      </c>
      <c r="AH81" s="1">
        <v>23</v>
      </c>
      <c r="AI81" s="1">
        <v>20</v>
      </c>
      <c r="AJ81" s="1">
        <v>28</v>
      </c>
      <c r="AK81" s="1">
        <v>36</v>
      </c>
      <c r="AL81" s="1">
        <v>17</v>
      </c>
      <c r="AM81" s="1">
        <v>19</v>
      </c>
      <c r="AN81" s="1">
        <v>17</v>
      </c>
      <c r="AO81" s="1">
        <v>7</v>
      </c>
      <c r="AP81" s="1">
        <v>19</v>
      </c>
      <c r="AQ81" s="1">
        <v>13</v>
      </c>
      <c r="AR81" s="1">
        <v>23</v>
      </c>
      <c r="AS81" s="1">
        <v>17</v>
      </c>
      <c r="AT81" s="1">
        <v>15</v>
      </c>
      <c r="AU81" s="1">
        <v>17</v>
      </c>
      <c r="AV81" s="1">
        <v>21</v>
      </c>
      <c r="AW81" s="1">
        <v>10</v>
      </c>
      <c r="AY81" s="31">
        <f>IF(SUM(AU81:AW81)&gt;=0,AVERAGE(AU81:AW81),"")</f>
        <v>16</v>
      </c>
      <c r="AZ81" s="5">
        <f>IF(SUM(AS81:AW81)&gt;=0,AVERAGE(AS81:AW81),"")</f>
        <v>16</v>
      </c>
      <c r="BA81" s="5">
        <f>IF(SUM(AN81:AW81)&gt;=0,AVERAGE(AN81:AW81),"")</f>
        <v>15.9</v>
      </c>
      <c r="BB81" s="5"/>
      <c r="BC81" s="32">
        <f>(AW81-BA81)/BA81</f>
        <v>-0.37106918238993714</v>
      </c>
    </row>
    <row r="82" spans="2:55" ht="11.25" customHeight="1">
      <c r="C82" s="1" t="s">
        <v>114</v>
      </c>
      <c r="D82" s="1" t="s">
        <v>115</v>
      </c>
      <c r="I82" s="25" t="s">
        <v>29</v>
      </c>
      <c r="J82" s="25" t="s">
        <v>29</v>
      </c>
      <c r="K82" s="25" t="s">
        <v>29</v>
      </c>
      <c r="L82" s="25" t="s">
        <v>29</v>
      </c>
      <c r="M82" s="25" t="s">
        <v>29</v>
      </c>
      <c r="N82" s="25" t="s">
        <v>29</v>
      </c>
      <c r="O82" s="25" t="s">
        <v>29</v>
      </c>
      <c r="P82" s="25" t="s">
        <v>29</v>
      </c>
      <c r="Q82" s="25" t="s">
        <v>29</v>
      </c>
      <c r="R82" s="25" t="s">
        <v>29</v>
      </c>
      <c r="S82" s="25" t="s">
        <v>29</v>
      </c>
      <c r="T82" s="25" t="s">
        <v>29</v>
      </c>
      <c r="U82" s="25" t="s">
        <v>29</v>
      </c>
      <c r="V82" s="25" t="s">
        <v>29</v>
      </c>
      <c r="W82" s="25"/>
      <c r="X82" s="25"/>
      <c r="Y82" s="25"/>
      <c r="Z82" s="25"/>
      <c r="AA82" s="25">
        <v>0</v>
      </c>
      <c r="AB82" s="1">
        <v>5</v>
      </c>
      <c r="AC82" s="1">
        <v>8</v>
      </c>
      <c r="AD82" s="1">
        <v>11</v>
      </c>
      <c r="AE82" s="1">
        <v>11</v>
      </c>
      <c r="AF82" s="1">
        <v>8</v>
      </c>
      <c r="AG82" s="1">
        <v>12</v>
      </c>
      <c r="AH82" s="1">
        <v>8</v>
      </c>
      <c r="AI82" s="1">
        <v>9</v>
      </c>
      <c r="AJ82" s="1">
        <v>11</v>
      </c>
      <c r="AK82" s="1">
        <v>11</v>
      </c>
      <c r="AL82" s="1">
        <v>11</v>
      </c>
      <c r="AM82" s="1">
        <v>10</v>
      </c>
      <c r="AN82" s="1">
        <v>8</v>
      </c>
      <c r="AO82" s="1">
        <v>0</v>
      </c>
      <c r="AP82" s="1">
        <v>10</v>
      </c>
      <c r="AQ82" s="1">
        <v>4</v>
      </c>
      <c r="AR82" s="1">
        <v>7</v>
      </c>
      <c r="AS82" s="1">
        <v>1</v>
      </c>
      <c r="AT82" s="1">
        <v>3</v>
      </c>
      <c r="AU82" s="1">
        <v>1</v>
      </c>
      <c r="AV82" s="1">
        <v>0</v>
      </c>
      <c r="AW82" s="1">
        <v>0</v>
      </c>
      <c r="AY82" s="31">
        <f t="shared" ref="AY82:AY83" si="28">IF(SUM(AU82:AW82)&gt;=0,AVERAGE(AU82:AW82),"")</f>
        <v>0.33333333333333331</v>
      </c>
      <c r="AZ82" s="5" t="s">
        <v>22</v>
      </c>
      <c r="BA82" s="3" t="s">
        <v>22</v>
      </c>
      <c r="BC82" s="33"/>
    </row>
    <row r="83" spans="2:55" ht="11.25" customHeight="1">
      <c r="C83" s="1" t="s">
        <v>116</v>
      </c>
      <c r="D83" s="1" t="s">
        <v>117</v>
      </c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O83" s="1">
        <v>0</v>
      </c>
      <c r="AP83" s="1">
        <v>0</v>
      </c>
      <c r="AQ83" s="1">
        <v>2</v>
      </c>
      <c r="AR83" s="1">
        <v>1</v>
      </c>
      <c r="AS83" s="1">
        <v>2</v>
      </c>
      <c r="AT83" s="1">
        <v>1</v>
      </c>
      <c r="AU83" s="1">
        <v>5</v>
      </c>
      <c r="AV83" s="1">
        <v>8</v>
      </c>
      <c r="AW83" s="1">
        <v>1</v>
      </c>
      <c r="AY83" s="31">
        <f t="shared" si="28"/>
        <v>4.666666666666667</v>
      </c>
      <c r="AZ83" s="5" t="s">
        <v>22</v>
      </c>
      <c r="BA83" s="3" t="s">
        <v>22</v>
      </c>
      <c r="BC83" s="33"/>
    </row>
    <row r="84" spans="2:55" ht="11.25" customHeight="1"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Y84" s="37"/>
      <c r="AZ84" s="5"/>
      <c r="BA84" s="3"/>
      <c r="BC84" s="38"/>
    </row>
    <row r="85" spans="2:55" ht="11.25" customHeight="1">
      <c r="B85" s="36" t="s">
        <v>364</v>
      </c>
      <c r="C85" s="1" t="s">
        <v>106</v>
      </c>
      <c r="D85" s="1" t="s">
        <v>107</v>
      </c>
      <c r="E85" s="1">
        <v>3</v>
      </c>
      <c r="F85" s="1">
        <v>4</v>
      </c>
      <c r="G85" s="1">
        <v>5</v>
      </c>
      <c r="H85" s="1">
        <v>6</v>
      </c>
      <c r="I85" s="1">
        <v>4</v>
      </c>
      <c r="J85" s="1">
        <v>8</v>
      </c>
      <c r="K85" s="1">
        <v>2</v>
      </c>
      <c r="L85" s="1">
        <v>2</v>
      </c>
      <c r="M85" s="1">
        <v>2</v>
      </c>
      <c r="N85" s="1">
        <v>3</v>
      </c>
      <c r="O85" s="1">
        <v>7</v>
      </c>
      <c r="P85" s="1">
        <v>2</v>
      </c>
      <c r="Q85" s="1">
        <v>6</v>
      </c>
      <c r="R85" s="1">
        <v>3</v>
      </c>
      <c r="S85" s="1">
        <v>3</v>
      </c>
      <c r="T85" s="1">
        <v>2</v>
      </c>
      <c r="U85" s="1">
        <v>9</v>
      </c>
      <c r="V85" s="1">
        <v>3</v>
      </c>
      <c r="W85" s="1">
        <v>3</v>
      </c>
      <c r="X85" s="1">
        <v>4</v>
      </c>
      <c r="Y85" s="1">
        <v>2</v>
      </c>
      <c r="Z85" s="1">
        <v>5</v>
      </c>
      <c r="AA85" s="1">
        <v>7</v>
      </c>
      <c r="AB85" s="1">
        <v>7</v>
      </c>
      <c r="AC85" s="1">
        <v>5</v>
      </c>
      <c r="AD85" s="1">
        <v>7</v>
      </c>
      <c r="AE85" s="1">
        <v>7</v>
      </c>
      <c r="AF85" s="1">
        <v>6</v>
      </c>
      <c r="AG85" s="1">
        <v>3</v>
      </c>
      <c r="AH85" s="1">
        <v>10</v>
      </c>
      <c r="AI85" s="1">
        <v>5</v>
      </c>
      <c r="AJ85" s="1">
        <v>8</v>
      </c>
      <c r="AK85" s="1">
        <v>10</v>
      </c>
      <c r="AL85" s="1">
        <v>3</v>
      </c>
      <c r="AM85" s="1">
        <v>3</v>
      </c>
      <c r="AN85" s="1">
        <v>2</v>
      </c>
      <c r="AO85" s="1">
        <v>1</v>
      </c>
      <c r="AP85" s="1">
        <v>1</v>
      </c>
      <c r="AY85" s="34" t="s">
        <v>22</v>
      </c>
      <c r="AZ85" s="3" t="s">
        <v>22</v>
      </c>
      <c r="BA85" s="3" t="s">
        <v>22</v>
      </c>
      <c r="BC85" s="33"/>
    </row>
    <row r="86" spans="2:55" ht="11.25" customHeight="1">
      <c r="C86" s="1" t="s">
        <v>108</v>
      </c>
      <c r="D86" s="1" t="s">
        <v>107</v>
      </c>
      <c r="E86" s="1">
        <v>4</v>
      </c>
      <c r="F86" s="1">
        <v>0</v>
      </c>
      <c r="G86" s="1">
        <v>1</v>
      </c>
      <c r="H86" s="1">
        <v>3</v>
      </c>
      <c r="I86" s="1">
        <v>2</v>
      </c>
      <c r="J86" s="1">
        <v>2</v>
      </c>
      <c r="K86" s="1">
        <v>5</v>
      </c>
      <c r="L86" s="1">
        <v>3</v>
      </c>
      <c r="M86" s="1">
        <v>2</v>
      </c>
      <c r="N86" s="1">
        <v>0</v>
      </c>
      <c r="O86" s="1">
        <v>1</v>
      </c>
      <c r="P86" s="1">
        <v>5</v>
      </c>
      <c r="Q86" s="1">
        <v>3</v>
      </c>
      <c r="R86" s="1">
        <v>3</v>
      </c>
      <c r="S86" s="1">
        <v>5</v>
      </c>
      <c r="T86" s="1">
        <v>2</v>
      </c>
      <c r="U86" s="1">
        <v>7</v>
      </c>
      <c r="V86" s="1">
        <v>4</v>
      </c>
      <c r="W86" s="1">
        <v>0</v>
      </c>
      <c r="X86" s="1">
        <v>7</v>
      </c>
      <c r="Y86" s="1">
        <v>2</v>
      </c>
      <c r="Z86" s="1">
        <v>0</v>
      </c>
      <c r="AA86" s="1">
        <v>1</v>
      </c>
      <c r="AB86" s="1">
        <v>2</v>
      </c>
      <c r="AC86" s="1">
        <v>1</v>
      </c>
      <c r="AD86" s="1">
        <v>5</v>
      </c>
      <c r="AE86" s="1">
        <v>7</v>
      </c>
      <c r="AF86" s="1">
        <v>4</v>
      </c>
      <c r="AG86" s="1">
        <v>1</v>
      </c>
      <c r="AH86" s="1">
        <v>3</v>
      </c>
      <c r="AI86" s="1">
        <v>1</v>
      </c>
      <c r="AJ86" s="1">
        <v>0</v>
      </c>
      <c r="AK86" s="1">
        <v>0</v>
      </c>
      <c r="AL86" s="1">
        <v>2</v>
      </c>
      <c r="AM86" s="1">
        <v>0</v>
      </c>
      <c r="AN86" s="1">
        <v>1</v>
      </c>
      <c r="AO86" s="1">
        <v>0</v>
      </c>
      <c r="AP86" s="1">
        <v>1</v>
      </c>
      <c r="AY86" s="34" t="s">
        <v>22</v>
      </c>
      <c r="AZ86" s="3" t="s">
        <v>22</v>
      </c>
      <c r="BA86" s="3" t="s">
        <v>22</v>
      </c>
      <c r="BC86" s="33"/>
    </row>
    <row r="87" spans="2:55" ht="11.25" customHeight="1">
      <c r="C87" s="26" t="s">
        <v>109</v>
      </c>
      <c r="D87" s="1" t="s">
        <v>110</v>
      </c>
      <c r="AM87" s="1">
        <v>4</v>
      </c>
      <c r="AN87" s="1">
        <v>17</v>
      </c>
      <c r="AO87" s="1">
        <v>18</v>
      </c>
      <c r="AP87" s="1">
        <v>30</v>
      </c>
      <c r="AQ87" s="1">
        <v>17</v>
      </c>
      <c r="AR87" s="1">
        <v>14</v>
      </c>
      <c r="AS87" s="1">
        <v>24</v>
      </c>
      <c r="AT87" s="1">
        <v>17</v>
      </c>
      <c r="AU87" s="1">
        <v>17</v>
      </c>
      <c r="AV87" s="1">
        <v>21</v>
      </c>
      <c r="AW87" s="1">
        <v>8</v>
      </c>
      <c r="AY87" s="31">
        <f>IF(SUM(AU87:AW87)&gt;=0,AVERAGE(AU87:AW87),"")</f>
        <v>15.333333333333334</v>
      </c>
      <c r="AZ87" s="5">
        <f>IF(SUM(AS87:AW87)&gt;=0,AVERAGE(AS87:AW87),"")</f>
        <v>17.399999999999999</v>
      </c>
      <c r="BA87" s="5">
        <f>IF(SUM(AN87:AW87)&gt;=0,AVERAGE(AN87:AW87),"")</f>
        <v>18.3</v>
      </c>
      <c r="BB87" s="5"/>
      <c r="BC87" s="32">
        <f>(AW87-BA87)/BA87</f>
        <v>-0.56284153005464488</v>
      </c>
    </row>
    <row r="88" spans="2:55" ht="11.25" customHeight="1">
      <c r="C88" s="1" t="s">
        <v>111</v>
      </c>
      <c r="D88" s="1" t="s">
        <v>107</v>
      </c>
      <c r="E88" s="1">
        <v>5</v>
      </c>
      <c r="F88" s="1">
        <v>5</v>
      </c>
      <c r="G88" s="1">
        <v>4</v>
      </c>
      <c r="H88" s="1">
        <v>7</v>
      </c>
      <c r="I88" s="1">
        <v>5</v>
      </c>
      <c r="J88" s="1">
        <v>2</v>
      </c>
      <c r="K88" s="1">
        <v>4</v>
      </c>
      <c r="L88" s="1">
        <v>5</v>
      </c>
      <c r="M88" s="1">
        <v>3</v>
      </c>
      <c r="N88" s="1">
        <v>4</v>
      </c>
      <c r="O88" s="1">
        <v>7</v>
      </c>
      <c r="P88" s="1">
        <v>9</v>
      </c>
      <c r="Q88" s="1">
        <v>14</v>
      </c>
      <c r="R88" s="1">
        <v>7</v>
      </c>
      <c r="S88" s="1">
        <v>5</v>
      </c>
      <c r="T88" s="1">
        <v>7</v>
      </c>
      <c r="U88" s="1">
        <v>13</v>
      </c>
      <c r="V88" s="1">
        <v>14</v>
      </c>
      <c r="W88" s="1">
        <v>6</v>
      </c>
      <c r="X88" s="1">
        <v>11</v>
      </c>
      <c r="Y88" s="1">
        <v>10</v>
      </c>
      <c r="Z88" s="1">
        <v>11</v>
      </c>
      <c r="AA88" s="1">
        <v>8</v>
      </c>
      <c r="AB88" s="1">
        <v>9</v>
      </c>
      <c r="AC88" s="1">
        <v>9</v>
      </c>
      <c r="AD88" s="1">
        <v>13</v>
      </c>
      <c r="AE88" s="1">
        <v>7</v>
      </c>
      <c r="AF88" s="1">
        <v>14</v>
      </c>
      <c r="AG88" s="1">
        <v>9</v>
      </c>
      <c r="AH88" s="1">
        <v>9</v>
      </c>
      <c r="AI88" s="1">
        <v>11</v>
      </c>
      <c r="AJ88" s="1">
        <v>6</v>
      </c>
      <c r="AK88" s="1">
        <v>6</v>
      </c>
      <c r="AL88" s="1">
        <v>21</v>
      </c>
      <c r="AM88" s="1">
        <v>10</v>
      </c>
      <c r="AN88" s="1">
        <v>1</v>
      </c>
      <c r="AO88" s="1">
        <v>1</v>
      </c>
      <c r="AY88" s="34" t="s">
        <v>22</v>
      </c>
      <c r="AZ88" s="3" t="s">
        <v>22</v>
      </c>
      <c r="BA88" s="3" t="s">
        <v>22</v>
      </c>
      <c r="BC88" s="33"/>
    </row>
    <row r="89" spans="2:55" ht="11.25" customHeight="1"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4"/>
      <c r="AZ89" s="4"/>
      <c r="BA89" s="4"/>
    </row>
    <row r="90" spans="2:55" ht="11.25" customHeight="1">
      <c r="B90" s="36" t="s">
        <v>365</v>
      </c>
      <c r="C90" s="1" t="s">
        <v>120</v>
      </c>
      <c r="D90" s="1" t="s">
        <v>21</v>
      </c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1">
        <v>0</v>
      </c>
      <c r="AO90" s="1">
        <v>2</v>
      </c>
      <c r="AP90" s="1">
        <v>0</v>
      </c>
      <c r="AQ90" s="1">
        <v>2</v>
      </c>
      <c r="AR90" s="1">
        <v>1</v>
      </c>
      <c r="AS90" s="1">
        <v>2</v>
      </c>
      <c r="AT90" s="1">
        <v>1</v>
      </c>
      <c r="AU90" s="1">
        <v>0</v>
      </c>
      <c r="AV90" s="1">
        <v>0</v>
      </c>
      <c r="AW90" s="1">
        <v>0</v>
      </c>
      <c r="AX90" s="25"/>
      <c r="AY90" s="31">
        <f>IF(SUM(AU90:AW90)&gt;=0,AVERAGE(AU90:AW90),"")</f>
        <v>0</v>
      </c>
      <c r="AZ90" s="5">
        <f t="shared" ref="AZ90:AZ91" si="29">IF(SUM(AS90:AW90)&gt;=0,AVERAGE(AS90:AW90),"")</f>
        <v>0.6</v>
      </c>
      <c r="BA90" s="5">
        <f t="shared" ref="BA90:BA91" si="30">IF(SUM(AN90:AW90)&gt;=0,AVERAGE(AN90:AW90),"")</f>
        <v>0.8</v>
      </c>
      <c r="BB90" s="5"/>
      <c r="BC90" s="32">
        <f t="shared" ref="BC90:BC91" si="31">(AW90-BA90)/BA90</f>
        <v>-1</v>
      </c>
    </row>
    <row r="91" spans="2:55" ht="11.25" customHeight="1">
      <c r="C91" s="1" t="s">
        <v>121</v>
      </c>
      <c r="D91" s="1" t="s">
        <v>122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2</v>
      </c>
      <c r="AH91" s="1">
        <v>2</v>
      </c>
      <c r="AI91" s="1">
        <v>0</v>
      </c>
      <c r="AJ91" s="1">
        <v>0</v>
      </c>
      <c r="AK91" s="1">
        <v>1</v>
      </c>
      <c r="AL91" s="1">
        <v>0</v>
      </c>
      <c r="AM91" s="1">
        <v>3</v>
      </c>
      <c r="AN91" s="1">
        <v>1</v>
      </c>
      <c r="AO91" s="1">
        <v>2</v>
      </c>
      <c r="AP91" s="1">
        <v>1</v>
      </c>
      <c r="AQ91" s="7">
        <v>0</v>
      </c>
      <c r="AR91" s="1">
        <v>2</v>
      </c>
      <c r="AS91" s="1">
        <v>1</v>
      </c>
      <c r="AT91" s="1">
        <v>1</v>
      </c>
      <c r="AU91" s="1">
        <v>4</v>
      </c>
      <c r="AV91" s="1">
        <v>4</v>
      </c>
      <c r="AW91" s="1">
        <v>1</v>
      </c>
      <c r="AY91" s="31">
        <f>IF(SUM(AU91:AW91)&gt;=0,AVERAGE(AU91:AW91),"")</f>
        <v>3</v>
      </c>
      <c r="AZ91" s="5">
        <f t="shared" si="29"/>
        <v>2.2000000000000002</v>
      </c>
      <c r="BA91" s="5">
        <f t="shared" si="30"/>
        <v>1.7</v>
      </c>
      <c r="BB91" s="5"/>
      <c r="BC91" s="32">
        <f t="shared" si="31"/>
        <v>-0.41176470588235292</v>
      </c>
    </row>
    <row r="92" spans="2:55" ht="11.25" customHeight="1">
      <c r="C92" s="1" t="s">
        <v>123</v>
      </c>
      <c r="D92" s="1" t="s">
        <v>124</v>
      </c>
      <c r="E92" s="1">
        <f>0+11</f>
        <v>11</v>
      </c>
      <c r="F92" s="1">
        <f>4+5</f>
        <v>9</v>
      </c>
      <c r="G92" s="1">
        <f>10+3</f>
        <v>13</v>
      </c>
      <c r="H92" s="1">
        <f>23+4</f>
        <v>27</v>
      </c>
      <c r="I92" s="1">
        <f>10+4</f>
        <v>14</v>
      </c>
      <c r="J92" s="1">
        <f>12+2</f>
        <v>14</v>
      </c>
      <c r="K92" s="1">
        <f>13+1</f>
        <v>14</v>
      </c>
      <c r="L92" s="1">
        <f>15+7</f>
        <v>22</v>
      </c>
      <c r="M92" s="1">
        <f>9+5</f>
        <v>14</v>
      </c>
      <c r="N92" s="1">
        <f>3+9</f>
        <v>12</v>
      </c>
      <c r="O92" s="1">
        <f>8+7</f>
        <v>15</v>
      </c>
      <c r="P92" s="1">
        <f>6+11</f>
        <v>17</v>
      </c>
      <c r="Q92" s="1">
        <f>7+2</f>
        <v>9</v>
      </c>
      <c r="R92" s="1">
        <f>10+6</f>
        <v>16</v>
      </c>
      <c r="S92" s="1">
        <f>5+6</f>
        <v>11</v>
      </c>
      <c r="T92" s="1">
        <f>5+5</f>
        <v>10</v>
      </c>
      <c r="U92" s="1">
        <f>1+6</f>
        <v>7</v>
      </c>
      <c r="V92" s="1">
        <f>5+7</f>
        <v>12</v>
      </c>
      <c r="W92" s="1">
        <f>2+7</f>
        <v>9</v>
      </c>
      <c r="X92" s="1">
        <f>7+8</f>
        <v>15</v>
      </c>
      <c r="Y92" s="1">
        <f>2+6</f>
        <v>8</v>
      </c>
      <c r="Z92" s="1">
        <f>5+5</f>
        <v>10</v>
      </c>
      <c r="AA92" s="1">
        <f>5+5</f>
        <v>10</v>
      </c>
      <c r="AB92" s="1">
        <f>3+6</f>
        <v>9</v>
      </c>
      <c r="AC92" s="1">
        <f>1+9</f>
        <v>10</v>
      </c>
      <c r="AD92" s="1">
        <f>4+6</f>
        <v>10</v>
      </c>
      <c r="AE92" s="1">
        <v>7</v>
      </c>
      <c r="AF92" s="1">
        <v>17</v>
      </c>
      <c r="AG92" s="1">
        <v>15</v>
      </c>
      <c r="AH92" s="1">
        <v>31</v>
      </c>
      <c r="AI92" s="1">
        <v>13</v>
      </c>
      <c r="AJ92" s="1">
        <v>16</v>
      </c>
      <c r="AK92" s="1">
        <v>16</v>
      </c>
      <c r="AL92" s="1">
        <v>25</v>
      </c>
      <c r="AM92" s="1">
        <v>26</v>
      </c>
      <c r="AN92" s="1">
        <v>23</v>
      </c>
      <c r="AO92" s="1">
        <v>22</v>
      </c>
      <c r="AP92" s="1">
        <v>29</v>
      </c>
      <c r="AQ92" s="1">
        <v>21</v>
      </c>
      <c r="AR92" s="1">
        <v>31</v>
      </c>
      <c r="AS92" s="1">
        <v>23</v>
      </c>
      <c r="AT92" s="1">
        <v>29</v>
      </c>
      <c r="AU92" s="1">
        <v>21</v>
      </c>
      <c r="AV92" s="1">
        <v>25</v>
      </c>
      <c r="AW92" s="1">
        <v>10</v>
      </c>
      <c r="AY92" s="31">
        <f>IF(SUM(AU92:AW92)&gt;=0,AVERAGE(AU92:AW92),"")</f>
        <v>18.666666666666668</v>
      </c>
      <c r="AZ92" s="5">
        <f t="shared" ref="AZ92:AZ93" si="32">IF(SUM(AS92:AW92)&gt;=0,AVERAGE(AS92:AW92),"")</f>
        <v>21.6</v>
      </c>
      <c r="BA92" s="5">
        <f t="shared" ref="BA92:BA93" si="33">IF(SUM(AN92:AW92)&gt;=0,AVERAGE(AN92:AW92),"")</f>
        <v>23.4</v>
      </c>
      <c r="BB92" s="5"/>
      <c r="BC92" s="32">
        <f t="shared" ref="BC92:BC93" si="34">(AW92-BA92)/BA92</f>
        <v>-0.57264957264957261</v>
      </c>
    </row>
    <row r="93" spans="2:55" ht="11.25" customHeight="1">
      <c r="D93" s="1" t="s">
        <v>96</v>
      </c>
      <c r="E93" s="1">
        <v>3</v>
      </c>
      <c r="F93" s="1">
        <v>2</v>
      </c>
      <c r="G93" s="1">
        <v>2</v>
      </c>
      <c r="H93" s="1">
        <v>1</v>
      </c>
      <c r="I93" s="1">
        <v>0</v>
      </c>
      <c r="J93" s="1">
        <v>1</v>
      </c>
      <c r="K93" s="1">
        <v>2</v>
      </c>
      <c r="L93" s="1">
        <v>1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R93" s="1">
        <v>5</v>
      </c>
      <c r="S93" s="1">
        <v>2</v>
      </c>
      <c r="T93" s="1">
        <v>3</v>
      </c>
      <c r="U93" s="1">
        <v>4</v>
      </c>
      <c r="V93" s="1">
        <v>1</v>
      </c>
      <c r="W93" s="1">
        <v>4</v>
      </c>
      <c r="X93" s="1">
        <v>4</v>
      </c>
      <c r="Y93" s="1">
        <v>3</v>
      </c>
      <c r="Z93" s="1">
        <v>3</v>
      </c>
      <c r="AA93" s="1">
        <v>7</v>
      </c>
      <c r="AB93" s="1">
        <v>5</v>
      </c>
      <c r="AC93" s="1">
        <v>6</v>
      </c>
      <c r="AD93" s="1">
        <v>4</v>
      </c>
      <c r="AE93" s="1">
        <v>5</v>
      </c>
      <c r="AF93" s="1">
        <v>5</v>
      </c>
      <c r="AG93" s="1">
        <v>2</v>
      </c>
      <c r="AH93" s="1">
        <v>10</v>
      </c>
      <c r="AI93" s="1">
        <v>6</v>
      </c>
      <c r="AJ93" s="1">
        <v>4</v>
      </c>
      <c r="AK93" s="1">
        <v>5</v>
      </c>
      <c r="AL93" s="1">
        <v>5</v>
      </c>
      <c r="AM93" s="1">
        <v>6</v>
      </c>
      <c r="AN93" s="1">
        <v>7</v>
      </c>
      <c r="AO93" s="1">
        <v>7</v>
      </c>
      <c r="AP93" s="1">
        <v>8</v>
      </c>
      <c r="AQ93" s="1">
        <v>9</v>
      </c>
      <c r="AR93" s="1">
        <v>2</v>
      </c>
      <c r="AS93" s="1">
        <v>8</v>
      </c>
      <c r="AT93" s="1">
        <v>6</v>
      </c>
      <c r="AU93" s="1">
        <v>6</v>
      </c>
      <c r="AV93" s="1">
        <v>12</v>
      </c>
      <c r="AW93" s="1">
        <v>5</v>
      </c>
      <c r="AY93" s="31">
        <f>IF(SUM(AU93:AW93)&gt;=0,AVERAGE(AU93:AW93),"")</f>
        <v>7.666666666666667</v>
      </c>
      <c r="AZ93" s="5">
        <f t="shared" si="32"/>
        <v>7.4</v>
      </c>
      <c r="BA93" s="5">
        <f t="shared" si="33"/>
        <v>7</v>
      </c>
      <c r="BB93" s="5"/>
      <c r="BC93" s="32">
        <f t="shared" si="34"/>
        <v>-0.2857142857142857</v>
      </c>
    </row>
    <row r="94" spans="2:55" ht="11.25" customHeight="1">
      <c r="AY94" s="31"/>
      <c r="AZ94" s="5"/>
      <c r="BA94" s="5"/>
      <c r="BB94" s="5"/>
      <c r="BC94" s="32"/>
    </row>
    <row r="95" spans="2:55" ht="11.25" customHeight="1">
      <c r="B95" s="36" t="s">
        <v>118</v>
      </c>
      <c r="C95" s="1" t="s">
        <v>119</v>
      </c>
      <c r="D95" s="1" t="s">
        <v>34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1">
        <v>1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Y95" s="31">
        <f>IF(SUM(AU95:AW95)&gt;=0,AVERAGE(AU95:AW95),"")</f>
        <v>0</v>
      </c>
      <c r="AZ95" s="5">
        <f>IF(SUM(AS95:AW95)&gt;=0,AVERAGE(AS95:AW95),"")</f>
        <v>0</v>
      </c>
      <c r="BA95" s="3" t="s">
        <v>22</v>
      </c>
      <c r="BC95" s="33"/>
    </row>
    <row r="96" spans="2:55" ht="11.25" customHeight="1"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Y96" s="31"/>
      <c r="AZ96" s="5"/>
      <c r="BA96" s="3"/>
      <c r="BC96" s="33"/>
    </row>
    <row r="97" spans="2:55" ht="11.25" customHeight="1">
      <c r="B97" s="36" t="s">
        <v>125</v>
      </c>
      <c r="C97" s="1" t="s">
        <v>126</v>
      </c>
      <c r="D97" s="1" t="s">
        <v>127</v>
      </c>
      <c r="E97" s="1">
        <v>11</v>
      </c>
      <c r="F97" s="1">
        <v>9</v>
      </c>
      <c r="G97" s="1">
        <v>2</v>
      </c>
      <c r="H97" s="1">
        <v>1</v>
      </c>
      <c r="I97" s="1">
        <v>3</v>
      </c>
      <c r="J97" s="1">
        <v>4</v>
      </c>
      <c r="K97" s="1">
        <v>6</v>
      </c>
      <c r="L97" s="1">
        <v>9</v>
      </c>
      <c r="M97" s="1">
        <v>4</v>
      </c>
      <c r="N97" s="1">
        <v>4</v>
      </c>
      <c r="O97" s="1">
        <v>3</v>
      </c>
      <c r="P97" s="1">
        <v>1</v>
      </c>
      <c r="Q97" s="1">
        <v>6</v>
      </c>
      <c r="R97" s="1">
        <v>2</v>
      </c>
      <c r="S97" s="1">
        <v>2</v>
      </c>
      <c r="T97" s="1">
        <v>4</v>
      </c>
      <c r="U97" s="1">
        <v>3</v>
      </c>
      <c r="V97" s="1">
        <v>1</v>
      </c>
      <c r="W97" s="1">
        <v>3</v>
      </c>
      <c r="X97" s="1">
        <v>2</v>
      </c>
      <c r="Y97" s="1">
        <v>3</v>
      </c>
      <c r="Z97" s="1">
        <v>3</v>
      </c>
      <c r="AA97" s="1">
        <v>7</v>
      </c>
      <c r="AB97" s="1">
        <v>6</v>
      </c>
      <c r="AC97" s="1">
        <v>1</v>
      </c>
      <c r="AD97" s="1">
        <v>8</v>
      </c>
      <c r="AE97" s="1">
        <v>2</v>
      </c>
      <c r="AF97" s="1">
        <v>4</v>
      </c>
      <c r="AG97" s="1">
        <v>7</v>
      </c>
      <c r="AH97" s="1">
        <v>8</v>
      </c>
      <c r="AI97" s="1">
        <v>4</v>
      </c>
      <c r="AJ97" s="1">
        <v>8</v>
      </c>
      <c r="AK97" s="1">
        <v>8</v>
      </c>
      <c r="AL97" s="1">
        <v>12</v>
      </c>
      <c r="AM97" s="1">
        <v>18</v>
      </c>
      <c r="AN97" s="1">
        <v>11</v>
      </c>
      <c r="AO97" s="1">
        <v>10</v>
      </c>
      <c r="AP97" s="1">
        <v>17</v>
      </c>
      <c r="AQ97" s="1">
        <v>18</v>
      </c>
      <c r="AR97" s="25">
        <v>17</v>
      </c>
      <c r="AS97" s="25">
        <v>15</v>
      </c>
      <c r="AT97" s="25">
        <v>20</v>
      </c>
      <c r="AU97" s="25">
        <v>20</v>
      </c>
      <c r="AV97" s="25">
        <v>18</v>
      </c>
      <c r="AW97" s="25">
        <v>21</v>
      </c>
      <c r="AX97" s="25"/>
      <c r="AY97" s="31">
        <f>IF(SUM(AU97:AW97)&gt;=0,AVERAGE(AU97:AW97),"")</f>
        <v>19.666666666666668</v>
      </c>
      <c r="AZ97" s="5">
        <f>IF(SUM(AS97:AW97)&gt;=0,AVERAGE(AS97:AW97),"")</f>
        <v>18.8</v>
      </c>
      <c r="BA97" s="3" t="s">
        <v>22</v>
      </c>
      <c r="BC97" s="33"/>
    </row>
    <row r="98" spans="2:55" ht="11.25" customHeight="1">
      <c r="C98" s="1" t="s">
        <v>128</v>
      </c>
      <c r="D98" s="1" t="s">
        <v>129</v>
      </c>
      <c r="E98" s="1">
        <v>8</v>
      </c>
      <c r="F98" s="1">
        <v>3</v>
      </c>
      <c r="G98" s="1">
        <v>19</v>
      </c>
      <c r="H98" s="1">
        <v>15</v>
      </c>
      <c r="I98" s="1">
        <v>7</v>
      </c>
      <c r="J98" s="1">
        <v>9</v>
      </c>
      <c r="K98" s="1">
        <v>6</v>
      </c>
      <c r="L98" s="1">
        <v>4</v>
      </c>
      <c r="M98" s="1">
        <v>5</v>
      </c>
      <c r="N98" s="1">
        <v>6</v>
      </c>
      <c r="O98" s="1">
        <v>10</v>
      </c>
      <c r="P98" s="1">
        <v>6</v>
      </c>
      <c r="Q98" s="1">
        <v>6</v>
      </c>
      <c r="R98" s="1">
        <v>4</v>
      </c>
      <c r="S98" s="1">
        <v>4</v>
      </c>
      <c r="T98" s="1">
        <v>2</v>
      </c>
      <c r="U98" s="1">
        <v>8</v>
      </c>
      <c r="V98" s="1">
        <v>7</v>
      </c>
      <c r="W98" s="1">
        <v>3</v>
      </c>
      <c r="X98" s="1">
        <v>7</v>
      </c>
      <c r="Y98" s="1">
        <v>7</v>
      </c>
      <c r="Z98" s="1">
        <v>3</v>
      </c>
      <c r="AA98" s="1">
        <v>14</v>
      </c>
      <c r="AB98" s="1">
        <v>10</v>
      </c>
      <c r="AC98" s="1">
        <f>2+1</f>
        <v>3</v>
      </c>
      <c r="AD98" s="1">
        <v>10</v>
      </c>
      <c r="AE98" s="1">
        <v>3</v>
      </c>
      <c r="AF98" s="1">
        <v>9</v>
      </c>
      <c r="AG98" s="1">
        <v>9</v>
      </c>
      <c r="AH98" s="1">
        <v>6</v>
      </c>
      <c r="AI98" s="1">
        <v>9</v>
      </c>
      <c r="AJ98" s="1">
        <v>10</v>
      </c>
      <c r="AK98" s="1">
        <v>1</v>
      </c>
      <c r="AL98" s="1">
        <v>4</v>
      </c>
      <c r="AM98" s="1">
        <v>0</v>
      </c>
      <c r="AN98" s="1">
        <v>1</v>
      </c>
      <c r="AO98" s="1">
        <v>11</v>
      </c>
      <c r="AP98" s="1">
        <v>2</v>
      </c>
      <c r="AQ98" s="1">
        <v>2</v>
      </c>
      <c r="AR98" s="25">
        <v>4</v>
      </c>
      <c r="AS98" s="25"/>
      <c r="AT98" s="25">
        <v>0</v>
      </c>
      <c r="AU98" s="25"/>
      <c r="AV98" s="25"/>
      <c r="AW98" s="25"/>
      <c r="AX98" s="25"/>
      <c r="AY98" s="34" t="s">
        <v>22</v>
      </c>
      <c r="AZ98" s="3" t="s">
        <v>22</v>
      </c>
      <c r="BA98" s="3" t="s">
        <v>22</v>
      </c>
      <c r="BC98" s="33"/>
    </row>
    <row r="99" spans="2:55" ht="11.25" customHeight="1">
      <c r="D99" s="1" t="s">
        <v>130</v>
      </c>
      <c r="I99" s="25" t="s">
        <v>29</v>
      </c>
      <c r="J99" s="25" t="s">
        <v>29</v>
      </c>
      <c r="K99" s="25" t="s">
        <v>29</v>
      </c>
      <c r="L99" s="25" t="s">
        <v>29</v>
      </c>
      <c r="M99" s="25" t="s">
        <v>29</v>
      </c>
      <c r="N99" s="25" t="s">
        <v>29</v>
      </c>
      <c r="O99" s="25" t="s">
        <v>29</v>
      </c>
      <c r="P99" s="25" t="s">
        <v>29</v>
      </c>
      <c r="Q99" s="25" t="s">
        <v>29</v>
      </c>
      <c r="R99" s="25" t="s">
        <v>29</v>
      </c>
      <c r="S99" s="25" t="s">
        <v>29</v>
      </c>
      <c r="T99" s="25" t="s">
        <v>29</v>
      </c>
      <c r="U99" s="25" t="s">
        <v>29</v>
      </c>
      <c r="V99" s="25" t="s">
        <v>29</v>
      </c>
      <c r="W99" s="1">
        <v>0</v>
      </c>
      <c r="X99" s="1">
        <v>0</v>
      </c>
      <c r="Y99" s="1">
        <v>6</v>
      </c>
      <c r="Z99" s="1">
        <v>4</v>
      </c>
      <c r="AA99" s="1">
        <v>2</v>
      </c>
      <c r="AB99" s="1">
        <v>8</v>
      </c>
      <c r="AC99" s="1">
        <v>9</v>
      </c>
      <c r="AD99" s="1">
        <v>14</v>
      </c>
      <c r="AE99" s="1">
        <v>5</v>
      </c>
      <c r="AF99" s="1">
        <f>4+3</f>
        <v>7</v>
      </c>
      <c r="AG99" s="1">
        <f>2+3</f>
        <v>5</v>
      </c>
      <c r="AH99" s="1">
        <f>4+6</f>
        <v>10</v>
      </c>
      <c r="AI99" s="1">
        <v>10</v>
      </c>
      <c r="AJ99" s="1">
        <v>6</v>
      </c>
      <c r="AK99" s="1">
        <v>9</v>
      </c>
      <c r="AL99" s="1">
        <v>11</v>
      </c>
      <c r="AM99" s="1">
        <v>11</v>
      </c>
      <c r="AN99" s="1">
        <v>0</v>
      </c>
      <c r="AO99" s="1">
        <v>6</v>
      </c>
      <c r="AP99" s="1">
        <v>5</v>
      </c>
      <c r="AQ99" s="1">
        <v>11</v>
      </c>
      <c r="AR99" s="1">
        <v>3</v>
      </c>
      <c r="AS99" s="1">
        <v>2</v>
      </c>
      <c r="AT99" s="1">
        <v>3</v>
      </c>
      <c r="AU99" s="1">
        <v>3</v>
      </c>
      <c r="AX99" s="25"/>
      <c r="AY99" s="31">
        <f>IF(SUM(AU99:AW99)&gt;=0,AVERAGE(AU99:AW99),"")</f>
        <v>3</v>
      </c>
      <c r="AZ99" s="5" t="s">
        <v>22</v>
      </c>
      <c r="BA99" s="3" t="s">
        <v>22</v>
      </c>
      <c r="BC99" s="33"/>
    </row>
    <row r="100" spans="2:55" ht="11.25" customHeight="1"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4"/>
      <c r="AZ100" s="4"/>
      <c r="BA100" s="5"/>
      <c r="BB100" s="5"/>
      <c r="BC100" s="4"/>
    </row>
    <row r="101" spans="2:55" ht="11.25" customHeight="1">
      <c r="B101" s="36" t="s">
        <v>131</v>
      </c>
      <c r="C101" s="1" t="s">
        <v>132</v>
      </c>
      <c r="D101" s="1" t="s">
        <v>34</v>
      </c>
      <c r="E101" s="1">
        <v>6</v>
      </c>
      <c r="F101" s="1">
        <v>7</v>
      </c>
      <c r="G101" s="1">
        <v>9</v>
      </c>
      <c r="H101" s="1">
        <v>3</v>
      </c>
      <c r="I101" s="1">
        <v>5</v>
      </c>
      <c r="J101" s="1">
        <v>4</v>
      </c>
      <c r="K101" s="1">
        <v>3</v>
      </c>
      <c r="L101" s="1">
        <v>6</v>
      </c>
      <c r="M101" s="1">
        <v>2</v>
      </c>
      <c r="N101" s="1">
        <v>1</v>
      </c>
      <c r="O101" s="1">
        <v>3</v>
      </c>
      <c r="P101" s="1">
        <v>4</v>
      </c>
      <c r="Q101" s="1">
        <v>5</v>
      </c>
      <c r="R101" s="1">
        <v>4</v>
      </c>
      <c r="S101" s="1">
        <v>8</v>
      </c>
      <c r="T101" s="1">
        <v>3</v>
      </c>
      <c r="U101" s="1">
        <v>6</v>
      </c>
      <c r="V101" s="1">
        <v>2</v>
      </c>
      <c r="W101" s="1">
        <v>9</v>
      </c>
      <c r="X101" s="1">
        <v>7</v>
      </c>
      <c r="Y101" s="1">
        <v>8</v>
      </c>
      <c r="Z101" s="1">
        <v>5</v>
      </c>
      <c r="AA101" s="1">
        <v>8</v>
      </c>
      <c r="AB101" s="1">
        <v>7</v>
      </c>
      <c r="AC101" s="1">
        <v>5</v>
      </c>
      <c r="AD101" s="1">
        <v>11</v>
      </c>
      <c r="AE101" s="1">
        <v>9</v>
      </c>
      <c r="AF101" s="1">
        <v>6</v>
      </c>
      <c r="AG101" s="1">
        <v>12</v>
      </c>
      <c r="AH101" s="1">
        <v>6</v>
      </c>
      <c r="AI101" s="1">
        <v>8</v>
      </c>
      <c r="AJ101" s="1">
        <v>8</v>
      </c>
      <c r="AK101" s="1">
        <v>10</v>
      </c>
      <c r="AL101" s="1">
        <v>12</v>
      </c>
      <c r="AM101" s="1">
        <v>11</v>
      </c>
      <c r="AN101" s="1">
        <v>6</v>
      </c>
      <c r="AO101" s="1">
        <v>6</v>
      </c>
      <c r="AP101" s="1">
        <v>13</v>
      </c>
      <c r="AQ101" s="1">
        <v>10</v>
      </c>
      <c r="AR101" s="1">
        <v>8</v>
      </c>
      <c r="AS101" s="1">
        <v>9</v>
      </c>
      <c r="AT101" s="1">
        <v>6</v>
      </c>
      <c r="AU101" s="1">
        <v>4</v>
      </c>
      <c r="AV101" s="1">
        <v>10</v>
      </c>
      <c r="AW101" s="1">
        <v>13</v>
      </c>
      <c r="AY101" s="31">
        <f>IF(SUM(AU101:AW101)&gt;=0,AVERAGE(AU101:AW101),"")</f>
        <v>9</v>
      </c>
      <c r="AZ101" s="5">
        <f t="shared" ref="AZ101:AZ102" si="35">IF(SUM(AS101:AW101)&gt;=0,AVERAGE(AS101:AW101),"")</f>
        <v>8.4</v>
      </c>
      <c r="BA101" s="5">
        <f t="shared" ref="BA101:BA102" si="36">IF(SUM(AN101:AW101)&gt;=0,AVERAGE(AN101:AW101),"")</f>
        <v>8.5</v>
      </c>
      <c r="BB101" s="5"/>
      <c r="BC101" s="32">
        <f t="shared" ref="BC101:BC102" si="37">(AW101-BA101)/BA101</f>
        <v>0.52941176470588236</v>
      </c>
    </row>
    <row r="102" spans="2:55" ht="11.25" customHeight="1">
      <c r="D102" s="1" t="s">
        <v>57</v>
      </c>
      <c r="J102" s="25" t="s">
        <v>29</v>
      </c>
      <c r="K102" s="25" t="s">
        <v>29</v>
      </c>
      <c r="L102" s="25" t="s">
        <v>29</v>
      </c>
      <c r="M102" s="25" t="s">
        <v>29</v>
      </c>
      <c r="N102" s="25" t="s">
        <v>29</v>
      </c>
      <c r="O102" s="25" t="s">
        <v>29</v>
      </c>
      <c r="P102" s="25" t="s">
        <v>29</v>
      </c>
      <c r="Q102" s="25" t="s">
        <v>29</v>
      </c>
      <c r="R102" s="25" t="s">
        <v>29</v>
      </c>
      <c r="S102" s="25" t="s">
        <v>29</v>
      </c>
      <c r="T102" s="25" t="s">
        <v>29</v>
      </c>
      <c r="U102" s="25" t="s">
        <v>29</v>
      </c>
      <c r="V102" s="25" t="s">
        <v>29</v>
      </c>
      <c r="W102" s="25"/>
      <c r="X102" s="25"/>
      <c r="Y102" s="25"/>
      <c r="Z102" s="25"/>
      <c r="AA102" s="25"/>
      <c r="AB102" s="1">
        <v>0</v>
      </c>
      <c r="AC102" s="1">
        <v>0</v>
      </c>
      <c r="AD102" s="1">
        <v>2</v>
      </c>
      <c r="AE102" s="1">
        <v>4</v>
      </c>
      <c r="AF102" s="1">
        <v>2</v>
      </c>
      <c r="AG102" s="1">
        <v>6</v>
      </c>
      <c r="AH102" s="1">
        <v>7</v>
      </c>
      <c r="AI102" s="1">
        <v>8</v>
      </c>
      <c r="AJ102" s="1">
        <v>10</v>
      </c>
      <c r="AK102" s="1">
        <v>16</v>
      </c>
      <c r="AL102" s="1">
        <v>12</v>
      </c>
      <c r="AM102" s="1">
        <v>9</v>
      </c>
      <c r="AN102" s="1">
        <v>16</v>
      </c>
      <c r="AO102" s="1">
        <v>10</v>
      </c>
      <c r="AP102" s="1">
        <v>5</v>
      </c>
      <c r="AQ102" s="1">
        <v>9</v>
      </c>
      <c r="AR102" s="1">
        <v>6</v>
      </c>
      <c r="AS102" s="1">
        <v>8</v>
      </c>
      <c r="AT102" s="1">
        <v>4</v>
      </c>
      <c r="AU102" s="1">
        <v>3</v>
      </c>
      <c r="AV102" s="1">
        <v>6</v>
      </c>
      <c r="AW102" s="1">
        <v>3</v>
      </c>
      <c r="AY102" s="31">
        <f>IF(SUM(AU102:AW102)&gt;=0,AVERAGE(AU102:AW102),"")</f>
        <v>4</v>
      </c>
      <c r="AZ102" s="5">
        <f t="shared" si="35"/>
        <v>4.8</v>
      </c>
      <c r="BA102" s="5">
        <f t="shared" si="36"/>
        <v>7</v>
      </c>
      <c r="BB102" s="5"/>
      <c r="BC102" s="32">
        <f t="shared" si="37"/>
        <v>-0.5714285714285714</v>
      </c>
    </row>
    <row r="103" spans="2:55" ht="11.25" customHeight="1"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Y103" s="31"/>
      <c r="AZ103" s="5"/>
      <c r="BA103" s="5"/>
      <c r="BB103" s="5"/>
      <c r="BC103" s="32"/>
    </row>
    <row r="104" spans="2:55" ht="11.25" customHeight="1">
      <c r="B104" s="36" t="s">
        <v>139</v>
      </c>
      <c r="C104" s="1" t="s">
        <v>140</v>
      </c>
      <c r="D104" s="1" t="s">
        <v>43</v>
      </c>
      <c r="E104" s="1">
        <v>12</v>
      </c>
      <c r="F104" s="1">
        <v>11</v>
      </c>
      <c r="G104" s="1">
        <v>3</v>
      </c>
      <c r="H104" s="1">
        <v>9</v>
      </c>
      <c r="I104" s="1">
        <v>1</v>
      </c>
      <c r="J104" s="1">
        <v>6</v>
      </c>
      <c r="K104" s="1">
        <v>5</v>
      </c>
      <c r="L104" s="1">
        <v>8</v>
      </c>
      <c r="M104" s="1">
        <v>7</v>
      </c>
      <c r="N104" s="1">
        <v>6</v>
      </c>
      <c r="O104" s="1">
        <v>8</v>
      </c>
      <c r="P104" s="1">
        <v>5</v>
      </c>
      <c r="Q104" s="1">
        <v>6</v>
      </c>
      <c r="R104" s="1">
        <v>4</v>
      </c>
      <c r="S104" s="1">
        <f>3+3+2+4</f>
        <v>12</v>
      </c>
      <c r="T104" s="1">
        <v>6</v>
      </c>
      <c r="U104" s="1">
        <v>9</v>
      </c>
      <c r="V104" s="1">
        <v>2</v>
      </c>
      <c r="W104" s="1">
        <v>6</v>
      </c>
      <c r="X104" s="1">
        <f>1+2+1</f>
        <v>4</v>
      </c>
      <c r="Y104" s="1">
        <f>1+1+1</f>
        <v>3</v>
      </c>
      <c r="Z104" s="1">
        <f>1+2+1</f>
        <v>4</v>
      </c>
      <c r="AA104" s="1">
        <v>7</v>
      </c>
      <c r="AB104" s="1">
        <v>7</v>
      </c>
      <c r="AC104" s="1">
        <v>11</v>
      </c>
      <c r="AD104" s="1">
        <v>5</v>
      </c>
      <c r="AE104" s="1">
        <v>11</v>
      </c>
      <c r="AF104" s="1">
        <v>2</v>
      </c>
      <c r="AG104" s="1">
        <v>9</v>
      </c>
      <c r="AH104" s="1">
        <v>4</v>
      </c>
      <c r="AI104" s="1">
        <v>7</v>
      </c>
      <c r="AJ104" s="1">
        <v>8</v>
      </c>
      <c r="AK104" s="1">
        <v>2</v>
      </c>
      <c r="AL104" s="1">
        <v>5</v>
      </c>
      <c r="AM104" s="1">
        <v>8</v>
      </c>
      <c r="AN104" s="1">
        <v>8</v>
      </c>
      <c r="AO104" s="1">
        <v>6</v>
      </c>
      <c r="AP104" s="1">
        <v>9</v>
      </c>
      <c r="AQ104" s="1">
        <v>8</v>
      </c>
      <c r="AR104" s="1">
        <v>6</v>
      </c>
      <c r="AS104" s="1">
        <v>9</v>
      </c>
      <c r="AT104" s="1">
        <v>8</v>
      </c>
      <c r="AU104" s="1">
        <v>8</v>
      </c>
      <c r="AV104" s="1">
        <v>3</v>
      </c>
      <c r="AW104" s="1">
        <v>6</v>
      </c>
      <c r="AY104" s="31">
        <f>IF(SUM(AU104:AW104)&gt;=0,AVERAGE(AU104:AW104),"")</f>
        <v>5.666666666666667</v>
      </c>
      <c r="AZ104" s="5">
        <f>IF(SUM(AS104:AW104)&gt;=0,AVERAGE(AS104:AW104),"")</f>
        <v>6.8</v>
      </c>
      <c r="BA104" s="5">
        <f>IF(SUM(AN104:AW104)&gt;=0,AVERAGE(AN104:AW104),"")</f>
        <v>7.1</v>
      </c>
      <c r="BB104" s="5"/>
      <c r="BC104" s="32">
        <f>(AW104-BA104)/BA104</f>
        <v>-0.15492957746478869</v>
      </c>
    </row>
    <row r="105" spans="2:55" ht="11.25" customHeight="1">
      <c r="D105" s="1" t="s">
        <v>44</v>
      </c>
      <c r="E105" s="1">
        <v>1</v>
      </c>
      <c r="F105" s="1">
        <v>1</v>
      </c>
      <c r="G105" s="1">
        <v>6</v>
      </c>
      <c r="H105" s="1">
        <v>3</v>
      </c>
      <c r="I105" s="1">
        <v>2</v>
      </c>
      <c r="J105" s="1">
        <v>2</v>
      </c>
      <c r="K105" s="1">
        <v>3</v>
      </c>
      <c r="L105" s="1">
        <v>1</v>
      </c>
      <c r="M105" s="1">
        <v>3</v>
      </c>
      <c r="N105" s="1">
        <v>1</v>
      </c>
      <c r="O105" s="1">
        <v>3</v>
      </c>
      <c r="P105" s="1">
        <v>4</v>
      </c>
      <c r="Q105" s="1">
        <v>2</v>
      </c>
      <c r="R105" s="1">
        <v>5</v>
      </c>
      <c r="S105" s="1">
        <v>5</v>
      </c>
      <c r="T105" s="1">
        <v>4</v>
      </c>
      <c r="U105" s="1">
        <v>6</v>
      </c>
      <c r="V105" s="1">
        <v>3</v>
      </c>
      <c r="W105" s="1">
        <v>2</v>
      </c>
      <c r="X105" s="1">
        <v>2</v>
      </c>
      <c r="Y105" s="1">
        <v>5</v>
      </c>
      <c r="Z105" s="1">
        <v>3</v>
      </c>
      <c r="AA105" s="1">
        <v>4</v>
      </c>
      <c r="AB105" s="1">
        <v>5</v>
      </c>
      <c r="AC105" s="1">
        <v>4</v>
      </c>
      <c r="AD105" s="1">
        <v>0</v>
      </c>
      <c r="AE105" s="1">
        <v>3</v>
      </c>
      <c r="AF105" s="1">
        <v>0</v>
      </c>
      <c r="AG105" s="1">
        <v>5</v>
      </c>
      <c r="AH105" s="1">
        <v>4</v>
      </c>
      <c r="AI105" s="1">
        <v>8</v>
      </c>
      <c r="AJ105" s="1">
        <v>3</v>
      </c>
      <c r="AK105" s="1">
        <v>3</v>
      </c>
      <c r="AL105" s="1">
        <v>4</v>
      </c>
      <c r="AM105" s="1">
        <v>7</v>
      </c>
      <c r="AN105" s="1">
        <v>8</v>
      </c>
      <c r="AO105" s="1">
        <v>4</v>
      </c>
      <c r="AP105" s="1">
        <v>3</v>
      </c>
      <c r="AQ105" s="1">
        <v>8</v>
      </c>
      <c r="AR105" s="1">
        <v>7</v>
      </c>
      <c r="AS105" s="1">
        <v>2</v>
      </c>
      <c r="AT105" s="1">
        <v>1</v>
      </c>
      <c r="AU105" s="1">
        <v>4</v>
      </c>
      <c r="AV105" s="1">
        <v>1</v>
      </c>
      <c r="AW105" s="1">
        <v>1</v>
      </c>
      <c r="AY105" s="31">
        <f t="shared" ref="AY105:AY106" si="38">IF(SUM(AU105:AW105)&gt;=0,AVERAGE(AU105:AW105),"")</f>
        <v>2</v>
      </c>
      <c r="AZ105" s="5" t="s">
        <v>22</v>
      </c>
      <c r="BA105" s="3" t="s">
        <v>22</v>
      </c>
      <c r="BB105" s="5"/>
      <c r="BC105" s="32"/>
    </row>
    <row r="106" spans="2:55" ht="11.25" customHeight="1">
      <c r="D106" s="1" t="s">
        <v>141</v>
      </c>
      <c r="I106" s="25" t="s">
        <v>29</v>
      </c>
      <c r="J106" s="25" t="s">
        <v>29</v>
      </c>
      <c r="K106" s="25" t="s">
        <v>29</v>
      </c>
      <c r="L106" s="25" t="s">
        <v>29</v>
      </c>
      <c r="M106" s="25" t="s">
        <v>29</v>
      </c>
      <c r="N106" s="25" t="s">
        <v>29</v>
      </c>
      <c r="O106" s="25" t="s">
        <v>29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2</v>
      </c>
      <c r="Y106" s="1">
        <v>0</v>
      </c>
      <c r="Z106" s="1">
        <v>1</v>
      </c>
      <c r="AA106" s="1">
        <v>0</v>
      </c>
      <c r="AB106" s="1">
        <v>2</v>
      </c>
      <c r="AC106" s="1">
        <v>1</v>
      </c>
      <c r="AD106" s="1">
        <v>0</v>
      </c>
      <c r="AE106" s="1">
        <v>1</v>
      </c>
      <c r="AF106" s="1">
        <v>0</v>
      </c>
      <c r="AG106" s="1">
        <v>3</v>
      </c>
      <c r="AH106" s="1">
        <v>1</v>
      </c>
      <c r="AI106" s="1">
        <v>1</v>
      </c>
      <c r="AJ106" s="1">
        <v>2</v>
      </c>
      <c r="AK106" s="1">
        <v>4</v>
      </c>
      <c r="AL106" s="1">
        <v>0</v>
      </c>
      <c r="AM106" s="1">
        <v>1</v>
      </c>
      <c r="AN106" s="1">
        <v>3</v>
      </c>
      <c r="AO106" s="1">
        <v>3</v>
      </c>
      <c r="AP106" s="1">
        <v>0</v>
      </c>
      <c r="AQ106" s="1">
        <v>3</v>
      </c>
      <c r="AR106" s="1">
        <v>1</v>
      </c>
      <c r="AS106" s="1">
        <v>2</v>
      </c>
      <c r="AT106" s="1">
        <v>2</v>
      </c>
      <c r="AU106" s="1">
        <v>2</v>
      </c>
      <c r="AV106" s="1">
        <v>1</v>
      </c>
      <c r="AW106" s="1">
        <v>4</v>
      </c>
      <c r="AY106" s="31">
        <f t="shared" si="38"/>
        <v>2.3333333333333335</v>
      </c>
      <c r="AZ106" s="5" t="s">
        <v>22</v>
      </c>
      <c r="BA106" s="3" t="s">
        <v>22</v>
      </c>
      <c r="BB106" s="5"/>
      <c r="BC106" s="32"/>
    </row>
    <row r="107" spans="2:55" ht="11.25" customHeight="1">
      <c r="AY107" s="3"/>
      <c r="AZ107" s="3"/>
      <c r="BA107" s="3"/>
    </row>
    <row r="108" spans="2:55" ht="11.25" customHeight="1">
      <c r="B108" s="36" t="s">
        <v>133</v>
      </c>
      <c r="C108" s="1" t="s">
        <v>134</v>
      </c>
      <c r="D108" s="1" t="s">
        <v>34</v>
      </c>
      <c r="AT108" s="1">
        <v>4</v>
      </c>
      <c r="AU108" s="1">
        <v>7</v>
      </c>
      <c r="AV108" s="1">
        <v>2</v>
      </c>
      <c r="AW108" s="1">
        <v>5</v>
      </c>
      <c r="AX108" s="25"/>
      <c r="AY108" s="31">
        <f>IF(SUM(AU108:AW108)&gt;=0,AVERAGE(AU108:AW108),"")</f>
        <v>4.666666666666667</v>
      </c>
      <c r="AZ108" s="3" t="s">
        <v>22</v>
      </c>
      <c r="BA108" s="3" t="s">
        <v>22</v>
      </c>
      <c r="BC108" s="33"/>
    </row>
    <row r="109" spans="2:55" s="40" customFormat="1" ht="11.25" customHeight="1">
      <c r="B109" s="52"/>
      <c r="C109" s="40" t="s">
        <v>385</v>
      </c>
      <c r="D109" s="40" t="s">
        <v>65</v>
      </c>
      <c r="AV109" s="40">
        <v>3</v>
      </c>
      <c r="AW109" s="40">
        <v>0</v>
      </c>
      <c r="AX109" s="44"/>
      <c r="AY109" s="31">
        <f t="shared" ref="AY109:AY112" si="39">IF(SUM(AU109:AW109)&gt;=0,AVERAGE(AU109:AW109),"")</f>
        <v>1.5</v>
      </c>
      <c r="AZ109" s="45" t="s">
        <v>22</v>
      </c>
      <c r="BA109" s="45" t="s">
        <v>22</v>
      </c>
      <c r="BC109" s="46"/>
    </row>
    <row r="110" spans="2:55">
      <c r="C110" s="1" t="s">
        <v>288</v>
      </c>
      <c r="D110" s="1" t="s">
        <v>289</v>
      </c>
      <c r="AI110" s="1">
        <v>1</v>
      </c>
      <c r="AJ110" s="1">
        <v>1</v>
      </c>
      <c r="AK110" s="1">
        <v>2</v>
      </c>
      <c r="AL110" s="1">
        <v>2</v>
      </c>
      <c r="AM110" s="1">
        <v>7</v>
      </c>
      <c r="AN110" s="1">
        <v>3</v>
      </c>
      <c r="AO110" s="1">
        <v>6</v>
      </c>
      <c r="AP110" s="1">
        <v>2</v>
      </c>
      <c r="AQ110" s="1">
        <v>7</v>
      </c>
      <c r="AR110" s="1">
        <v>3</v>
      </c>
      <c r="AS110" s="1">
        <v>3</v>
      </c>
      <c r="AT110" s="1">
        <v>3</v>
      </c>
      <c r="AU110" s="1">
        <v>2</v>
      </c>
      <c r="AV110" s="1">
        <v>3</v>
      </c>
      <c r="AW110" s="1">
        <v>1</v>
      </c>
      <c r="AX110" s="25"/>
      <c r="AY110" s="31">
        <f t="shared" si="39"/>
        <v>2</v>
      </c>
      <c r="AZ110" s="3" t="s">
        <v>22</v>
      </c>
      <c r="BA110" s="3" t="s">
        <v>22</v>
      </c>
      <c r="BC110" s="33"/>
    </row>
    <row r="111" spans="2:55" ht="11.25" customHeight="1">
      <c r="C111" s="1" t="s">
        <v>290</v>
      </c>
      <c r="D111" s="1" t="s">
        <v>291</v>
      </c>
      <c r="I111" s="25" t="s">
        <v>29</v>
      </c>
      <c r="J111" s="25" t="s">
        <v>29</v>
      </c>
      <c r="K111" s="25" t="s">
        <v>29</v>
      </c>
      <c r="L111" s="25" t="s">
        <v>29</v>
      </c>
      <c r="M111" s="25" t="s">
        <v>29</v>
      </c>
      <c r="N111" s="25" t="s">
        <v>29</v>
      </c>
      <c r="O111" s="25" t="s">
        <v>29</v>
      </c>
      <c r="P111" s="25" t="s">
        <v>29</v>
      </c>
      <c r="Q111" s="25" t="s">
        <v>29</v>
      </c>
      <c r="R111" s="25" t="s">
        <v>29</v>
      </c>
      <c r="S111" s="25" t="s">
        <v>29</v>
      </c>
      <c r="T111" s="25" t="s">
        <v>29</v>
      </c>
      <c r="U111" s="25" t="s">
        <v>29</v>
      </c>
      <c r="V111" s="25" t="s">
        <v>29</v>
      </c>
      <c r="W111" s="25"/>
      <c r="X111" s="25"/>
      <c r="Y111" s="1">
        <v>1</v>
      </c>
      <c r="Z111" s="1">
        <v>4</v>
      </c>
      <c r="AA111" s="1">
        <v>4</v>
      </c>
      <c r="AB111" s="1">
        <v>10</v>
      </c>
      <c r="AC111" s="1">
        <v>16</v>
      </c>
      <c r="AD111" s="1">
        <v>11</v>
      </c>
      <c r="AE111" s="1">
        <v>10</v>
      </c>
      <c r="AF111" s="1">
        <v>15</v>
      </c>
      <c r="AG111" s="1">
        <v>15</v>
      </c>
      <c r="AH111" s="1">
        <v>12</v>
      </c>
      <c r="AI111" s="1">
        <v>14</v>
      </c>
      <c r="AJ111" s="1">
        <v>30</v>
      </c>
      <c r="AK111" s="1">
        <v>25</v>
      </c>
      <c r="AL111" s="1">
        <v>21</v>
      </c>
      <c r="AM111" s="1">
        <v>15</v>
      </c>
      <c r="AN111" s="1">
        <v>24</v>
      </c>
      <c r="AO111" s="1">
        <v>15</v>
      </c>
      <c r="AP111" s="1">
        <v>14</v>
      </c>
      <c r="AQ111" s="1">
        <v>24</v>
      </c>
      <c r="AR111" s="1">
        <v>16</v>
      </c>
      <c r="AS111" s="1">
        <v>9</v>
      </c>
      <c r="AT111" s="1">
        <v>9</v>
      </c>
      <c r="AU111" s="1">
        <v>7</v>
      </c>
      <c r="AV111" s="1">
        <v>15</v>
      </c>
      <c r="AW111" s="1">
        <v>8</v>
      </c>
      <c r="AX111" s="25"/>
      <c r="AY111" s="31">
        <f t="shared" si="39"/>
        <v>10</v>
      </c>
      <c r="AZ111" s="3" t="s">
        <v>22</v>
      </c>
      <c r="BA111" s="3" t="s">
        <v>22</v>
      </c>
      <c r="BC111" s="33"/>
    </row>
    <row r="112" spans="2:55" ht="11.25" customHeight="1">
      <c r="C112" s="1" t="s">
        <v>292</v>
      </c>
      <c r="D112" s="1" t="s">
        <v>173</v>
      </c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AP112" s="1">
        <v>1</v>
      </c>
      <c r="AQ112" s="1">
        <v>0</v>
      </c>
      <c r="AR112" s="1">
        <v>2</v>
      </c>
      <c r="AS112" s="1">
        <v>3</v>
      </c>
      <c r="AT112" s="1">
        <v>6</v>
      </c>
      <c r="AU112" s="1">
        <v>1</v>
      </c>
      <c r="AV112" s="1">
        <v>4</v>
      </c>
      <c r="AW112" s="1">
        <v>3</v>
      </c>
      <c r="AX112" s="25"/>
      <c r="AY112" s="31">
        <f t="shared" si="39"/>
        <v>2.6666666666666665</v>
      </c>
      <c r="AZ112" s="3" t="s">
        <v>22</v>
      </c>
      <c r="BA112" s="3" t="s">
        <v>22</v>
      </c>
      <c r="BC112" s="33"/>
    </row>
    <row r="113" spans="2:55" ht="11.25" customHeight="1">
      <c r="C113" s="1" t="s">
        <v>135</v>
      </c>
      <c r="D113" s="1" t="s">
        <v>34</v>
      </c>
      <c r="E113" s="1">
        <v>48</v>
      </c>
      <c r="F113" s="1">
        <v>55</v>
      </c>
      <c r="G113" s="1">
        <v>36</v>
      </c>
      <c r="H113" s="1">
        <v>30</v>
      </c>
      <c r="I113" s="1">
        <v>41</v>
      </c>
      <c r="J113" s="1">
        <v>28</v>
      </c>
      <c r="K113" s="1">
        <v>24</v>
      </c>
      <c r="L113" s="1">
        <v>20</v>
      </c>
      <c r="M113" s="1">
        <v>27</v>
      </c>
      <c r="N113" s="1">
        <v>19</v>
      </c>
      <c r="O113" s="1">
        <v>22</v>
      </c>
      <c r="P113" s="1">
        <v>29</v>
      </c>
      <c r="Q113" s="1">
        <v>27</v>
      </c>
      <c r="R113" s="1">
        <v>27</v>
      </c>
      <c r="S113" s="1">
        <v>32</v>
      </c>
      <c r="T113" s="1">
        <v>28</v>
      </c>
      <c r="U113" s="1">
        <v>34</v>
      </c>
      <c r="V113" s="1">
        <v>40</v>
      </c>
      <c r="W113" s="1">
        <v>27</v>
      </c>
      <c r="X113" s="1">
        <v>29</v>
      </c>
      <c r="Y113" s="1">
        <v>26</v>
      </c>
      <c r="Z113" s="1">
        <f>32+1</f>
        <v>33</v>
      </c>
      <c r="AA113" s="1">
        <v>19</v>
      </c>
      <c r="AB113" s="1">
        <v>13</v>
      </c>
      <c r="AC113" s="1">
        <v>20</v>
      </c>
      <c r="AD113" s="1">
        <v>27</v>
      </c>
      <c r="AE113" s="1">
        <v>25</v>
      </c>
      <c r="AF113" s="1">
        <v>23</v>
      </c>
      <c r="AG113" s="1">
        <v>22</v>
      </c>
      <c r="AH113" s="1">
        <v>38</v>
      </c>
      <c r="AI113" s="1">
        <v>35</v>
      </c>
      <c r="AJ113" s="1">
        <v>33</v>
      </c>
      <c r="AK113" s="1">
        <v>38</v>
      </c>
      <c r="AL113" s="1">
        <v>34</v>
      </c>
      <c r="AM113" s="1">
        <v>31</v>
      </c>
      <c r="AN113" s="1">
        <v>38</v>
      </c>
      <c r="AO113" s="1">
        <v>22</v>
      </c>
      <c r="AP113" s="1">
        <v>22</v>
      </c>
      <c r="AQ113" s="1">
        <v>23</v>
      </c>
      <c r="AR113" s="1">
        <v>19</v>
      </c>
      <c r="AS113" s="1">
        <v>18</v>
      </c>
      <c r="AT113" s="1">
        <v>22</v>
      </c>
      <c r="AU113" s="1">
        <v>24</v>
      </c>
      <c r="AV113" s="1">
        <v>28</v>
      </c>
      <c r="AW113" s="1">
        <v>20</v>
      </c>
      <c r="AY113" s="31">
        <f>IF(SUM(AU113:AW113)&gt;=0,AVERAGE(AU113:AW113),"")</f>
        <v>24</v>
      </c>
      <c r="AZ113" s="5">
        <f t="shared" ref="AZ113:AZ117" si="40">IF(SUM(AS113:AW113)&gt;=0,AVERAGE(AS113:AW113),"")</f>
        <v>22.4</v>
      </c>
      <c r="BA113" s="5">
        <f t="shared" ref="BA113:BA117" si="41">IF(SUM(AN113:AW113)&gt;=0,AVERAGE(AN113:AW113),"")</f>
        <v>23.6</v>
      </c>
      <c r="BB113" s="5"/>
      <c r="BC113" s="32">
        <f t="shared" ref="BC113:BC117" si="42">(AW113-BA113)/BA113</f>
        <v>-0.15254237288135597</v>
      </c>
    </row>
    <row r="114" spans="2:55" ht="11.25" customHeight="1">
      <c r="D114" s="1" t="s">
        <v>96</v>
      </c>
      <c r="E114" s="1">
        <v>6</v>
      </c>
      <c r="F114" s="1">
        <v>8</v>
      </c>
      <c r="G114" s="1">
        <v>16</v>
      </c>
      <c r="H114" s="1">
        <v>3</v>
      </c>
      <c r="I114" s="1">
        <v>10</v>
      </c>
      <c r="J114" s="1">
        <v>6</v>
      </c>
      <c r="K114" s="1">
        <v>3</v>
      </c>
      <c r="L114" s="1">
        <v>4</v>
      </c>
      <c r="M114" s="1">
        <v>2</v>
      </c>
      <c r="N114" s="1">
        <v>7</v>
      </c>
      <c r="O114" s="1">
        <v>0</v>
      </c>
      <c r="P114" s="1">
        <v>6</v>
      </c>
      <c r="Q114" s="1">
        <v>3</v>
      </c>
      <c r="R114" s="1">
        <v>4</v>
      </c>
      <c r="S114" s="1">
        <v>8</v>
      </c>
      <c r="T114" s="1">
        <v>4</v>
      </c>
      <c r="U114" s="1">
        <v>6</v>
      </c>
      <c r="V114" s="1">
        <v>10</v>
      </c>
      <c r="W114" s="1">
        <v>8</v>
      </c>
      <c r="X114" s="1">
        <v>9</v>
      </c>
      <c r="Y114" s="1">
        <v>6</v>
      </c>
      <c r="Z114" s="1">
        <v>7</v>
      </c>
      <c r="AA114" s="1">
        <v>3</v>
      </c>
      <c r="AB114" s="1">
        <v>4</v>
      </c>
      <c r="AC114" s="1">
        <v>7</v>
      </c>
      <c r="AD114" s="1">
        <v>2</v>
      </c>
      <c r="AE114" s="1">
        <v>9</v>
      </c>
      <c r="AF114" s="1">
        <v>6</v>
      </c>
      <c r="AG114" s="1">
        <v>5</v>
      </c>
      <c r="AH114" s="1">
        <v>2</v>
      </c>
      <c r="AI114" s="1">
        <v>14</v>
      </c>
      <c r="AJ114" s="1">
        <v>3</v>
      </c>
      <c r="AK114" s="1">
        <v>6</v>
      </c>
      <c r="AL114" s="1">
        <v>2</v>
      </c>
      <c r="AM114" s="1">
        <v>8</v>
      </c>
      <c r="AN114" s="1">
        <v>8</v>
      </c>
      <c r="AO114" s="1">
        <v>6</v>
      </c>
      <c r="AP114" s="1">
        <v>9</v>
      </c>
      <c r="AQ114" s="1">
        <v>7</v>
      </c>
      <c r="AR114" s="1">
        <v>7</v>
      </c>
      <c r="AS114" s="1">
        <v>10</v>
      </c>
      <c r="AT114" s="1">
        <v>10</v>
      </c>
      <c r="AU114" s="1">
        <v>4</v>
      </c>
      <c r="AV114" s="1">
        <v>7</v>
      </c>
      <c r="AW114" s="1">
        <v>0</v>
      </c>
      <c r="AY114" s="31">
        <f>IF(SUM(AU114:AW114)&gt;=0,AVERAGE(AU114:AW114),"")</f>
        <v>3.6666666666666665</v>
      </c>
      <c r="AZ114" s="5">
        <f t="shared" si="40"/>
        <v>6.2</v>
      </c>
      <c r="BA114" s="5">
        <f t="shared" si="41"/>
        <v>6.8</v>
      </c>
      <c r="BB114" s="5"/>
      <c r="BC114" s="32">
        <f t="shared" si="42"/>
        <v>-1</v>
      </c>
    </row>
    <row r="115" spans="2:55" ht="11.25" customHeight="1">
      <c r="D115" s="1" t="s">
        <v>136</v>
      </c>
      <c r="I115" s="25" t="s">
        <v>29</v>
      </c>
      <c r="J115" s="25" t="s">
        <v>29</v>
      </c>
      <c r="K115" s="25" t="s">
        <v>29</v>
      </c>
      <c r="L115" s="25" t="s">
        <v>29</v>
      </c>
      <c r="M115" s="25" t="s">
        <v>29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2</v>
      </c>
      <c r="U115" s="1">
        <v>0</v>
      </c>
      <c r="V115" s="1">
        <v>2</v>
      </c>
      <c r="W115" s="1">
        <v>3</v>
      </c>
      <c r="X115" s="1">
        <v>3</v>
      </c>
      <c r="Y115" s="1">
        <v>4</v>
      </c>
      <c r="Z115" s="1">
        <v>7</v>
      </c>
      <c r="AA115" s="1">
        <v>4</v>
      </c>
      <c r="AB115" s="1">
        <v>3</v>
      </c>
      <c r="AC115" s="1">
        <v>2</v>
      </c>
      <c r="AD115" s="1">
        <v>3</v>
      </c>
      <c r="AE115" s="1">
        <v>1</v>
      </c>
      <c r="AF115" s="1">
        <v>3</v>
      </c>
      <c r="AG115" s="1">
        <v>5</v>
      </c>
      <c r="AH115" s="1">
        <v>2</v>
      </c>
      <c r="AI115" s="1">
        <v>2</v>
      </c>
      <c r="AJ115" s="1">
        <v>3</v>
      </c>
      <c r="AK115" s="1">
        <v>5</v>
      </c>
      <c r="AL115" s="1">
        <v>2</v>
      </c>
      <c r="AM115" s="1">
        <v>5</v>
      </c>
      <c r="AN115" s="1">
        <v>3</v>
      </c>
      <c r="AO115" s="1">
        <v>3</v>
      </c>
      <c r="AP115" s="1">
        <v>6</v>
      </c>
      <c r="AQ115" s="1">
        <v>5</v>
      </c>
      <c r="AR115" s="1">
        <v>4</v>
      </c>
      <c r="AS115" s="1">
        <v>3</v>
      </c>
      <c r="AT115" s="1">
        <v>3</v>
      </c>
      <c r="AU115" s="1">
        <v>2</v>
      </c>
      <c r="AV115" s="1">
        <v>4</v>
      </c>
      <c r="AW115" s="1">
        <v>3</v>
      </c>
      <c r="AY115" s="31">
        <f>IF(SUM(AU115:AW115)&gt;=0,AVERAGE(AU115:AW115),"")</f>
        <v>3</v>
      </c>
      <c r="AZ115" s="5">
        <f t="shared" si="40"/>
        <v>3</v>
      </c>
      <c r="BA115" s="5">
        <f t="shared" si="41"/>
        <v>3.6</v>
      </c>
      <c r="BB115" s="5"/>
      <c r="BC115" s="32">
        <f t="shared" si="42"/>
        <v>-0.16666666666666669</v>
      </c>
    </row>
    <row r="116" spans="2:55" ht="11.25" customHeight="1">
      <c r="C116" s="1" t="s">
        <v>137</v>
      </c>
      <c r="D116" s="1" t="s">
        <v>138</v>
      </c>
      <c r="I116" s="1">
        <v>1</v>
      </c>
      <c r="J116" s="1">
        <v>3</v>
      </c>
      <c r="K116" s="1">
        <v>4</v>
      </c>
      <c r="L116" s="1">
        <v>9</v>
      </c>
      <c r="M116" s="1">
        <v>9</v>
      </c>
      <c r="N116" s="1">
        <v>5</v>
      </c>
      <c r="O116" s="1">
        <v>6</v>
      </c>
      <c r="P116" s="1">
        <v>9</v>
      </c>
      <c r="Q116" s="1">
        <v>12</v>
      </c>
      <c r="R116" s="1">
        <v>14</v>
      </c>
      <c r="S116" s="1">
        <v>11</v>
      </c>
      <c r="T116" s="1">
        <v>13</v>
      </c>
      <c r="U116" s="1">
        <v>4</v>
      </c>
      <c r="V116" s="1">
        <v>5</v>
      </c>
      <c r="W116" s="1">
        <v>5</v>
      </c>
      <c r="X116" s="1">
        <v>3</v>
      </c>
      <c r="Y116" s="1">
        <v>5</v>
      </c>
      <c r="Z116" s="1">
        <v>7</v>
      </c>
      <c r="AA116" s="1">
        <f>1+6</f>
        <v>7</v>
      </c>
      <c r="AB116" s="1">
        <f>2+6</f>
        <v>8</v>
      </c>
      <c r="AC116" s="1">
        <v>9</v>
      </c>
      <c r="AD116" s="1">
        <v>7</v>
      </c>
      <c r="AE116" s="1">
        <v>3</v>
      </c>
      <c r="AF116" s="1">
        <v>10</v>
      </c>
      <c r="AG116" s="1">
        <v>3</v>
      </c>
      <c r="AH116" s="1">
        <v>7</v>
      </c>
      <c r="AI116" s="1">
        <v>10</v>
      </c>
      <c r="AJ116" s="1">
        <v>15</v>
      </c>
      <c r="AK116" s="1">
        <v>12</v>
      </c>
      <c r="AL116" s="1">
        <v>9</v>
      </c>
      <c r="AM116" s="1">
        <v>8</v>
      </c>
      <c r="AN116" s="1">
        <v>10</v>
      </c>
      <c r="AO116" s="1">
        <v>5</v>
      </c>
      <c r="AP116" s="1">
        <v>8</v>
      </c>
      <c r="AQ116" s="1">
        <v>8</v>
      </c>
      <c r="AR116" s="1">
        <v>4</v>
      </c>
      <c r="AS116" s="1">
        <v>7</v>
      </c>
      <c r="AT116" s="1">
        <v>6</v>
      </c>
      <c r="AU116" s="1">
        <v>7</v>
      </c>
      <c r="AV116" s="1">
        <v>14</v>
      </c>
      <c r="AW116" s="1">
        <v>7</v>
      </c>
      <c r="AY116" s="31">
        <f>IF(SUM(AU116:AW116)&gt;=0,AVERAGE(AU116:AW116),"")</f>
        <v>9.3333333333333339</v>
      </c>
      <c r="AZ116" s="5">
        <f t="shared" si="40"/>
        <v>8.1999999999999993</v>
      </c>
      <c r="BA116" s="5">
        <f t="shared" si="41"/>
        <v>7.6</v>
      </c>
      <c r="BB116" s="5"/>
      <c r="BC116" s="32">
        <f t="shared" si="42"/>
        <v>-7.8947368421052586E-2</v>
      </c>
    </row>
    <row r="117" spans="2:55" ht="11.25" customHeight="1">
      <c r="C117" s="1" t="s">
        <v>293</v>
      </c>
      <c r="D117" s="1" t="s">
        <v>294</v>
      </c>
      <c r="E117" s="1">
        <v>0</v>
      </c>
      <c r="F117" s="1">
        <v>6</v>
      </c>
      <c r="G117" s="1">
        <v>4</v>
      </c>
      <c r="H117" s="1">
        <v>6</v>
      </c>
      <c r="I117" s="1">
        <v>8</v>
      </c>
      <c r="J117" s="1">
        <v>6</v>
      </c>
      <c r="K117" s="1">
        <v>1</v>
      </c>
      <c r="L117" s="1">
        <v>5</v>
      </c>
      <c r="M117" s="1">
        <v>4</v>
      </c>
      <c r="N117" s="1">
        <v>7</v>
      </c>
      <c r="O117" s="1">
        <v>7</v>
      </c>
      <c r="P117" s="1">
        <v>3</v>
      </c>
      <c r="Q117" s="1">
        <v>5</v>
      </c>
      <c r="R117" s="1">
        <v>6</v>
      </c>
      <c r="S117" s="1">
        <v>6</v>
      </c>
      <c r="T117" s="1">
        <v>7</v>
      </c>
      <c r="U117" s="1">
        <v>9</v>
      </c>
      <c r="V117" s="1">
        <v>7</v>
      </c>
      <c r="W117" s="1">
        <v>11</v>
      </c>
      <c r="X117" s="1">
        <v>3</v>
      </c>
      <c r="Y117" s="1">
        <v>7</v>
      </c>
      <c r="Z117" s="1">
        <v>10</v>
      </c>
      <c r="AA117" s="1">
        <v>13</v>
      </c>
      <c r="AB117" s="1">
        <v>23</v>
      </c>
      <c r="AC117" s="1">
        <v>17</v>
      </c>
      <c r="AD117" s="1">
        <v>20</v>
      </c>
      <c r="AE117" s="1">
        <v>31</v>
      </c>
      <c r="AF117" s="1">
        <v>29</v>
      </c>
      <c r="AG117" s="1">
        <v>28</v>
      </c>
      <c r="AH117" s="1">
        <v>18</v>
      </c>
      <c r="AI117" s="1">
        <v>12</v>
      </c>
      <c r="AJ117" s="1">
        <v>26</v>
      </c>
      <c r="AK117" s="1">
        <v>16</v>
      </c>
      <c r="AL117" s="1">
        <v>26</v>
      </c>
      <c r="AM117" s="1">
        <v>33</v>
      </c>
      <c r="AN117" s="1">
        <v>25</v>
      </c>
      <c r="AO117" s="1">
        <v>22</v>
      </c>
      <c r="AP117" s="1">
        <v>18</v>
      </c>
      <c r="AQ117" s="1">
        <v>18</v>
      </c>
      <c r="AR117" s="1">
        <v>16</v>
      </c>
      <c r="AS117" s="1">
        <v>9</v>
      </c>
      <c r="AT117" s="1">
        <v>11</v>
      </c>
      <c r="AU117" s="1">
        <v>8</v>
      </c>
      <c r="AV117" s="1">
        <v>19</v>
      </c>
      <c r="AW117" s="1">
        <v>13</v>
      </c>
      <c r="AX117" s="25"/>
      <c r="AY117" s="31">
        <f>IF(SUM(AU117:AW117)&gt;=0,AVERAGE(AU117:AW117),"")</f>
        <v>13.333333333333334</v>
      </c>
      <c r="AZ117" s="5">
        <f t="shared" si="40"/>
        <v>12</v>
      </c>
      <c r="BA117" s="5">
        <f t="shared" si="41"/>
        <v>15.9</v>
      </c>
      <c r="BC117" s="32">
        <f t="shared" si="42"/>
        <v>-0.18238993710691825</v>
      </c>
    </row>
    <row r="118" spans="2:55" ht="11.25" customHeight="1"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4"/>
      <c r="AZ118" s="4"/>
      <c r="BA118" s="4"/>
    </row>
    <row r="119" spans="2:55" ht="11.25" customHeight="1">
      <c r="B119" s="36" t="s">
        <v>142</v>
      </c>
      <c r="C119" s="1" t="s">
        <v>143</v>
      </c>
      <c r="D119" s="1" t="s">
        <v>144</v>
      </c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1">
        <v>7</v>
      </c>
      <c r="AQ119" s="1">
        <v>2</v>
      </c>
      <c r="AR119" s="1">
        <v>8</v>
      </c>
      <c r="AS119" s="1">
        <v>2</v>
      </c>
      <c r="AT119" s="1">
        <v>11</v>
      </c>
      <c r="AU119" s="1">
        <v>8</v>
      </c>
      <c r="AV119" s="1">
        <v>10</v>
      </c>
      <c r="AW119" s="1">
        <v>10</v>
      </c>
      <c r="AX119" s="25"/>
      <c r="AY119" s="31">
        <f t="shared" ref="AY119:AY126" si="43">IF(SUM(AU119:AW119)&gt;=0,AVERAGE(AU119:AW119),"")</f>
        <v>9.3333333333333339</v>
      </c>
      <c r="AZ119" s="5">
        <f t="shared" ref="AZ119:AZ126" si="44">IF(SUM(AS119:AW119)&gt;=0,AVERAGE(AS119:AW119),"")</f>
        <v>8.1999999999999993</v>
      </c>
      <c r="BA119" s="3" t="s">
        <v>22</v>
      </c>
      <c r="BC119" s="33"/>
    </row>
    <row r="120" spans="2:55" ht="11.25" customHeight="1">
      <c r="C120" s="1" t="s">
        <v>366</v>
      </c>
      <c r="D120" s="1" t="s">
        <v>34</v>
      </c>
      <c r="E120" s="1">
        <v>68</v>
      </c>
      <c r="F120" s="1">
        <v>61</v>
      </c>
      <c r="G120" s="1">
        <v>53</v>
      </c>
      <c r="H120" s="1">
        <v>38</v>
      </c>
      <c r="I120" s="1">
        <v>47</v>
      </c>
      <c r="J120" s="1">
        <v>53</v>
      </c>
      <c r="K120" s="1">
        <v>53</v>
      </c>
      <c r="L120" s="1">
        <v>56</v>
      </c>
      <c r="M120" s="1">
        <v>39</v>
      </c>
      <c r="N120" s="1">
        <v>55</v>
      </c>
      <c r="O120" s="1">
        <v>61</v>
      </c>
      <c r="P120" s="1">
        <v>64</v>
      </c>
      <c r="Q120" s="1">
        <v>80</v>
      </c>
      <c r="R120" s="1">
        <v>79</v>
      </c>
      <c r="S120" s="1">
        <v>89</v>
      </c>
      <c r="T120" s="1">
        <v>111</v>
      </c>
      <c r="U120" s="1">
        <v>101</v>
      </c>
      <c r="V120" s="1">
        <v>99</v>
      </c>
      <c r="W120" s="1">
        <v>95</v>
      </c>
      <c r="X120" s="1">
        <v>84</v>
      </c>
      <c r="Y120" s="1">
        <v>109</v>
      </c>
      <c r="Z120" s="1">
        <v>127</v>
      </c>
      <c r="AA120" s="1">
        <v>135</v>
      </c>
      <c r="AB120" s="1">
        <v>130</v>
      </c>
      <c r="AC120" s="1">
        <v>139</v>
      </c>
      <c r="AD120" s="1">
        <v>140</v>
      </c>
      <c r="AE120" s="1">
        <v>136</v>
      </c>
      <c r="AF120" s="1">
        <v>123</v>
      </c>
      <c r="AG120" s="1">
        <v>126</v>
      </c>
      <c r="AH120" s="1">
        <v>147</v>
      </c>
      <c r="AI120" s="1">
        <v>121</v>
      </c>
      <c r="AJ120" s="1">
        <v>129</v>
      </c>
      <c r="AK120" s="1">
        <v>129</v>
      </c>
      <c r="AL120" s="1">
        <v>146</v>
      </c>
      <c r="AM120" s="1">
        <v>144</v>
      </c>
      <c r="AN120" s="1">
        <v>145</v>
      </c>
      <c r="AO120" s="1">
        <v>122</v>
      </c>
      <c r="AP120" s="1">
        <v>162</v>
      </c>
      <c r="AQ120" s="1">
        <v>167</v>
      </c>
      <c r="AR120" s="1">
        <v>140</v>
      </c>
      <c r="AS120" s="1">
        <v>156</v>
      </c>
      <c r="AT120" s="1">
        <v>166</v>
      </c>
      <c r="AU120" s="1">
        <v>131</v>
      </c>
      <c r="AV120" s="1">
        <v>132</v>
      </c>
      <c r="AW120" s="1">
        <v>142</v>
      </c>
      <c r="AY120" s="31">
        <f t="shared" si="43"/>
        <v>135</v>
      </c>
      <c r="AZ120" s="5">
        <f t="shared" si="44"/>
        <v>145.4</v>
      </c>
      <c r="BA120" s="5">
        <f t="shared" ref="BA120:BA123" si="45">IF(SUM(AN120:AW120)&gt;=0,AVERAGE(AN120:AW120),"")</f>
        <v>146.30000000000001</v>
      </c>
      <c r="BB120" s="5"/>
      <c r="BC120" s="32">
        <f t="shared" ref="BC120:BC123" si="46">(AW120-BA120)/BA120</f>
        <v>-2.9391660970608413E-2</v>
      </c>
    </row>
    <row r="121" spans="2:55" ht="11.25" customHeight="1">
      <c r="C121" s="1" t="s">
        <v>145</v>
      </c>
      <c r="D121" s="1" t="s">
        <v>96</v>
      </c>
      <c r="E121" s="1">
        <v>0</v>
      </c>
      <c r="F121" s="1">
        <v>6</v>
      </c>
      <c r="G121" s="1">
        <v>20</v>
      </c>
      <c r="H121" s="1">
        <v>8</v>
      </c>
      <c r="I121" s="1">
        <v>8</v>
      </c>
      <c r="J121" s="1">
        <v>21</v>
      </c>
      <c r="K121" s="1">
        <v>18</v>
      </c>
      <c r="L121" s="1">
        <v>15</v>
      </c>
      <c r="M121" s="1">
        <v>26</v>
      </c>
      <c r="N121" s="1">
        <v>19</v>
      </c>
      <c r="O121" s="1">
        <v>12</v>
      </c>
      <c r="P121" s="1">
        <v>23</v>
      </c>
      <c r="Q121" s="1">
        <v>14</v>
      </c>
      <c r="R121" s="1">
        <v>22</v>
      </c>
      <c r="S121" s="1">
        <v>15</v>
      </c>
      <c r="T121" s="1">
        <v>15</v>
      </c>
      <c r="U121" s="1">
        <v>12</v>
      </c>
      <c r="V121" s="1">
        <v>11</v>
      </c>
      <c r="W121" s="1">
        <v>11</v>
      </c>
      <c r="X121" s="1">
        <v>13</v>
      </c>
      <c r="Y121" s="1">
        <v>10</v>
      </c>
      <c r="Z121" s="1">
        <v>7</v>
      </c>
      <c r="AA121" s="1">
        <v>9</v>
      </c>
      <c r="AB121" s="1">
        <v>12</v>
      </c>
      <c r="AC121" s="1">
        <v>13</v>
      </c>
      <c r="AD121" s="1">
        <v>14</v>
      </c>
      <c r="AE121" s="1">
        <v>9</v>
      </c>
      <c r="AF121" s="1">
        <v>14</v>
      </c>
      <c r="AG121" s="1">
        <v>11</v>
      </c>
      <c r="AH121" s="1">
        <v>14</v>
      </c>
      <c r="AI121" s="1">
        <v>15</v>
      </c>
      <c r="AJ121" s="1">
        <v>15</v>
      </c>
      <c r="AK121" s="1">
        <v>10</v>
      </c>
      <c r="AL121" s="1">
        <v>17</v>
      </c>
      <c r="AM121" s="1">
        <v>15</v>
      </c>
      <c r="AN121" s="1">
        <v>19</v>
      </c>
      <c r="AO121" s="1">
        <v>17</v>
      </c>
      <c r="AP121" s="1">
        <v>12</v>
      </c>
      <c r="AQ121" s="1">
        <v>12</v>
      </c>
      <c r="AR121" s="1">
        <v>18</v>
      </c>
      <c r="AS121" s="1">
        <v>11</v>
      </c>
      <c r="AT121" s="1">
        <v>20</v>
      </c>
      <c r="AU121" s="1">
        <v>12</v>
      </c>
      <c r="AV121" s="1">
        <v>5</v>
      </c>
      <c r="AW121" s="1">
        <v>11</v>
      </c>
      <c r="AY121" s="31">
        <f t="shared" si="43"/>
        <v>9.3333333333333339</v>
      </c>
      <c r="AZ121" s="5">
        <f t="shared" si="44"/>
        <v>11.8</v>
      </c>
      <c r="BA121" s="5">
        <f t="shared" si="45"/>
        <v>13.7</v>
      </c>
      <c r="BB121" s="5"/>
      <c r="BC121" s="32">
        <f t="shared" si="46"/>
        <v>-0.19708029197080287</v>
      </c>
    </row>
    <row r="122" spans="2:55" ht="11.25" customHeight="1">
      <c r="D122" s="1" t="s">
        <v>49</v>
      </c>
      <c r="E122" s="1">
        <v>0</v>
      </c>
      <c r="F122" s="1">
        <v>4</v>
      </c>
      <c r="G122" s="1">
        <v>3</v>
      </c>
      <c r="H122" s="1">
        <v>5</v>
      </c>
      <c r="I122" s="1">
        <v>2</v>
      </c>
      <c r="J122" s="1">
        <v>5</v>
      </c>
      <c r="K122" s="1">
        <v>6</v>
      </c>
      <c r="L122" s="1">
        <v>8</v>
      </c>
      <c r="M122" s="1">
        <v>8</v>
      </c>
      <c r="N122" s="1">
        <v>6</v>
      </c>
      <c r="O122" s="1">
        <v>6</v>
      </c>
      <c r="P122" s="1">
        <v>6</v>
      </c>
      <c r="Q122" s="1">
        <v>11</v>
      </c>
      <c r="R122" s="1">
        <v>10</v>
      </c>
      <c r="S122" s="1">
        <v>11</v>
      </c>
      <c r="T122" s="1">
        <v>7</v>
      </c>
      <c r="U122" s="1">
        <v>4</v>
      </c>
      <c r="V122" s="1">
        <v>9</v>
      </c>
      <c r="W122" s="1">
        <v>5</v>
      </c>
      <c r="X122" s="1">
        <v>6</v>
      </c>
      <c r="Y122" s="1">
        <f>5+2+4</f>
        <v>11</v>
      </c>
      <c r="Z122" s="1">
        <f>4+2</f>
        <v>6</v>
      </c>
      <c r="AA122" s="1">
        <v>11</v>
      </c>
      <c r="AB122" s="1">
        <v>4</v>
      </c>
      <c r="AC122" s="1">
        <v>7</v>
      </c>
      <c r="AD122" s="1">
        <v>7</v>
      </c>
      <c r="AE122" s="1">
        <v>6</v>
      </c>
      <c r="AF122" s="1">
        <v>12</v>
      </c>
      <c r="AG122" s="1">
        <v>10</v>
      </c>
      <c r="AH122" s="1">
        <v>6</v>
      </c>
      <c r="AI122" s="1">
        <v>6</v>
      </c>
      <c r="AJ122" s="1">
        <v>8</v>
      </c>
      <c r="AK122" s="1">
        <v>7</v>
      </c>
      <c r="AL122" s="1">
        <v>5</v>
      </c>
      <c r="AM122" s="1">
        <v>10</v>
      </c>
      <c r="AN122" s="1">
        <v>7</v>
      </c>
      <c r="AO122" s="1">
        <v>15</v>
      </c>
      <c r="AP122" s="1">
        <v>7</v>
      </c>
      <c r="AQ122" s="1">
        <v>12</v>
      </c>
      <c r="AR122" s="1">
        <v>10</v>
      </c>
      <c r="AS122" s="1">
        <v>11</v>
      </c>
      <c r="AT122" s="1">
        <v>10</v>
      </c>
      <c r="AU122" s="1">
        <v>13</v>
      </c>
      <c r="AV122" s="1">
        <v>8</v>
      </c>
      <c r="AW122" s="1">
        <v>4</v>
      </c>
      <c r="AY122" s="31">
        <f t="shared" si="43"/>
        <v>8.3333333333333339</v>
      </c>
      <c r="AZ122" s="5">
        <f t="shared" si="44"/>
        <v>9.1999999999999993</v>
      </c>
      <c r="BA122" s="5">
        <f t="shared" si="45"/>
        <v>9.6999999999999993</v>
      </c>
      <c r="BB122" s="5"/>
      <c r="BC122" s="32">
        <f t="shared" si="46"/>
        <v>-0.58762886597938147</v>
      </c>
    </row>
    <row r="123" spans="2:55" ht="11.25" customHeight="1">
      <c r="C123" s="1" t="s">
        <v>146</v>
      </c>
      <c r="D123" s="1" t="s">
        <v>47</v>
      </c>
      <c r="I123" s="25" t="s">
        <v>29</v>
      </c>
      <c r="J123" s="25" t="s">
        <v>29</v>
      </c>
      <c r="K123" s="25" t="s">
        <v>29</v>
      </c>
      <c r="L123" s="25" t="s">
        <v>29</v>
      </c>
      <c r="M123" s="25" t="s">
        <v>29</v>
      </c>
      <c r="N123" s="25" t="s">
        <v>29</v>
      </c>
      <c r="O123" s="25" t="s">
        <v>29</v>
      </c>
      <c r="P123" s="25" t="s">
        <v>29</v>
      </c>
      <c r="Q123" s="25" t="s">
        <v>29</v>
      </c>
      <c r="R123" s="25" t="s">
        <v>29</v>
      </c>
      <c r="S123" s="25" t="s">
        <v>29</v>
      </c>
      <c r="T123" s="25" t="s">
        <v>29</v>
      </c>
      <c r="U123" s="25" t="s">
        <v>29</v>
      </c>
      <c r="V123" s="25" t="s">
        <v>29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1</v>
      </c>
      <c r="AF123" s="1">
        <v>0</v>
      </c>
      <c r="AG123" s="1">
        <v>0</v>
      </c>
      <c r="AH123" s="1">
        <v>0</v>
      </c>
      <c r="AI123" s="1">
        <v>0</v>
      </c>
      <c r="AJ123" s="1">
        <v>1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1</v>
      </c>
      <c r="AR123" s="1">
        <v>0</v>
      </c>
      <c r="AS123" s="1">
        <v>1</v>
      </c>
      <c r="AT123" s="1">
        <v>0</v>
      </c>
      <c r="AU123" s="1">
        <v>0</v>
      </c>
      <c r="AV123" s="1">
        <v>0</v>
      </c>
      <c r="AW123" s="1">
        <v>0</v>
      </c>
      <c r="AY123" s="31">
        <f t="shared" si="43"/>
        <v>0</v>
      </c>
      <c r="AZ123" s="5">
        <f t="shared" si="44"/>
        <v>0.2</v>
      </c>
      <c r="BA123" s="5">
        <f t="shared" si="45"/>
        <v>0.2</v>
      </c>
      <c r="BB123" s="5"/>
      <c r="BC123" s="32">
        <f t="shared" si="46"/>
        <v>-1</v>
      </c>
    </row>
    <row r="124" spans="2:55" ht="11.25" customHeight="1">
      <c r="C124" s="1" t="s">
        <v>147</v>
      </c>
      <c r="D124" s="1" t="s">
        <v>367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AT124" s="1">
        <v>0</v>
      </c>
      <c r="AU124" s="1">
        <v>0</v>
      </c>
      <c r="AV124" s="1">
        <v>0</v>
      </c>
      <c r="AW124" s="1">
        <v>10</v>
      </c>
      <c r="AX124" s="25"/>
      <c r="AY124" s="31">
        <f>IF(SUM(AU124:AW124)&gt;=0,AVERAGE(AU124:AW124),"")</f>
        <v>3.3333333333333335</v>
      </c>
      <c r="AZ124" s="3" t="s">
        <v>22</v>
      </c>
      <c r="BA124" s="3" t="s">
        <v>22</v>
      </c>
      <c r="BC124" s="33"/>
    </row>
    <row r="125" spans="2:55" ht="11.25" customHeight="1">
      <c r="D125" s="1" t="s">
        <v>148</v>
      </c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1</v>
      </c>
      <c r="AN125" s="1">
        <v>1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Y125" s="31">
        <f t="shared" si="43"/>
        <v>0</v>
      </c>
      <c r="AZ125" s="5">
        <f t="shared" si="44"/>
        <v>0</v>
      </c>
      <c r="BA125" s="5">
        <f>IF(SUM(AN125:AW125)&gt;=0,AVERAGE(AN125:AW125),"")</f>
        <v>0.1</v>
      </c>
      <c r="BB125" s="5"/>
      <c r="BC125" s="32">
        <f>(AW125-BA125)/BA125</f>
        <v>-1</v>
      </c>
    </row>
    <row r="126" spans="2:55" ht="11.25" customHeight="1">
      <c r="C126" s="1" t="s">
        <v>149</v>
      </c>
      <c r="D126" s="1" t="s">
        <v>150</v>
      </c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AR126" s="1">
        <v>1</v>
      </c>
      <c r="AS126" s="1">
        <v>4</v>
      </c>
      <c r="AT126" s="1">
        <v>11</v>
      </c>
      <c r="AU126" s="1">
        <v>7</v>
      </c>
      <c r="AV126" s="1">
        <v>5</v>
      </c>
      <c r="AW126" s="1">
        <v>3</v>
      </c>
      <c r="AX126" s="25"/>
      <c r="AY126" s="31">
        <f t="shared" si="43"/>
        <v>5</v>
      </c>
      <c r="AZ126" s="5">
        <f t="shared" si="44"/>
        <v>6</v>
      </c>
      <c r="BA126" s="3" t="s">
        <v>22</v>
      </c>
      <c r="BC126" s="33"/>
    </row>
    <row r="127" spans="2:55" ht="11.25" customHeight="1"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AX127" s="25"/>
      <c r="AY127" s="31"/>
      <c r="AZ127" s="5"/>
      <c r="BA127" s="3"/>
      <c r="BC127" s="33"/>
    </row>
    <row r="128" spans="2:55" ht="11.25" customHeight="1">
      <c r="B128" s="36" t="s">
        <v>151</v>
      </c>
      <c r="C128" s="1" t="s">
        <v>23</v>
      </c>
      <c r="D128" s="1" t="s">
        <v>24</v>
      </c>
      <c r="I128" s="25"/>
      <c r="J128" s="25"/>
      <c r="K128" s="25"/>
      <c r="L128" s="25"/>
      <c r="M128" s="25"/>
      <c r="N128" s="25"/>
      <c r="O128" s="25"/>
      <c r="AN128" s="1">
        <v>0</v>
      </c>
      <c r="AO128" s="1">
        <v>12</v>
      </c>
      <c r="AP128" s="1">
        <v>16</v>
      </c>
      <c r="AQ128" s="1">
        <v>16</v>
      </c>
      <c r="AR128" s="1">
        <v>8</v>
      </c>
      <c r="AS128" s="1">
        <v>6</v>
      </c>
      <c r="AT128" s="1">
        <v>11</v>
      </c>
      <c r="AU128" s="1">
        <v>6</v>
      </c>
      <c r="AV128" s="1">
        <v>4</v>
      </c>
      <c r="AW128" s="1">
        <v>3</v>
      </c>
      <c r="AX128" s="25"/>
      <c r="AY128" s="31">
        <f t="shared" ref="AY128" si="47">IF(SUM(AU128:AW128)&gt;=0,AVERAGE(AU128:AW128),"")</f>
        <v>4.333333333333333</v>
      </c>
      <c r="AZ128" s="5">
        <f t="shared" ref="AZ128" si="48">IF(SUM(AS128:AW128)&gt;=0,AVERAGE(AS128:AW128),"")</f>
        <v>6</v>
      </c>
      <c r="BA128" s="5">
        <f t="shared" ref="BA128" si="49">IF(SUM(AN128:AW128)&gt;=0,AVERAGE(AN128:AW128),"")</f>
        <v>8.1999999999999993</v>
      </c>
      <c r="BB128" s="5"/>
      <c r="BC128" s="32">
        <f t="shared" ref="BC128" si="50">(AW128-BA128)/BA128</f>
        <v>-0.63414634146341464</v>
      </c>
    </row>
    <row r="129" spans="2:55" ht="11.25" customHeight="1">
      <c r="C129" s="1" t="s">
        <v>264</v>
      </c>
      <c r="D129" s="1" t="s">
        <v>47</v>
      </c>
      <c r="AB129" s="7"/>
      <c r="AC129" s="7"/>
      <c r="AD129" s="7"/>
      <c r="AE129" s="7"/>
      <c r="AF129" s="7"/>
      <c r="AG129" s="7"/>
      <c r="AH129" s="7"/>
      <c r="AI129" s="1">
        <v>1</v>
      </c>
      <c r="AJ129" s="1">
        <v>7</v>
      </c>
      <c r="AK129" s="1">
        <v>8</v>
      </c>
      <c r="AL129" s="1">
        <v>3</v>
      </c>
      <c r="AM129" s="1">
        <v>5</v>
      </c>
      <c r="AN129" s="1">
        <v>10</v>
      </c>
      <c r="AO129" s="1">
        <v>2</v>
      </c>
      <c r="AP129" s="1">
        <v>2</v>
      </c>
      <c r="AQ129" s="1">
        <v>4</v>
      </c>
      <c r="AR129" s="1">
        <v>5</v>
      </c>
      <c r="AS129" s="1">
        <v>3</v>
      </c>
      <c r="AT129" s="1">
        <v>6</v>
      </c>
      <c r="AU129" s="1">
        <v>0</v>
      </c>
      <c r="AV129" s="1">
        <v>0</v>
      </c>
      <c r="AW129" s="1">
        <v>0</v>
      </c>
      <c r="AX129" s="7"/>
      <c r="AY129" s="31">
        <f t="shared" ref="AY129:AY132" si="51">IF(SUM(AU129:AW129)&gt;=0,AVERAGE(AU129:AW129),"")</f>
        <v>0</v>
      </c>
      <c r="AZ129" s="5">
        <f t="shared" ref="AZ129:AZ130" si="52">IF(SUM(AS129:AW129)&gt;=0,AVERAGE(AS129:AW129),"")</f>
        <v>1.8</v>
      </c>
      <c r="BA129" s="5">
        <f t="shared" ref="BA129:BA130" si="53">IF(SUM(AN129:AW129)&gt;=0,AVERAGE(AN129:AW129),"")</f>
        <v>3.2</v>
      </c>
      <c r="BB129" s="5"/>
      <c r="BC129" s="32">
        <f t="shared" ref="BC129:BC130" si="54">(AW129-BA129)/BA129</f>
        <v>-1</v>
      </c>
    </row>
    <row r="130" spans="2:55" ht="11.25" customHeight="1">
      <c r="D130" s="1" t="s">
        <v>265</v>
      </c>
      <c r="AB130" s="7"/>
      <c r="AC130" s="7"/>
      <c r="AD130" s="7"/>
      <c r="AE130" s="7"/>
      <c r="AF130" s="7"/>
      <c r="AG130" s="7"/>
      <c r="AH130" s="7"/>
      <c r="AJ130" s="1">
        <v>6</v>
      </c>
      <c r="AK130" s="1">
        <v>8</v>
      </c>
      <c r="AL130" s="1">
        <v>11</v>
      </c>
      <c r="AM130" s="1">
        <v>9</v>
      </c>
      <c r="AN130" s="1">
        <v>9</v>
      </c>
      <c r="AO130" s="1">
        <v>4</v>
      </c>
      <c r="AP130" s="1">
        <v>12</v>
      </c>
      <c r="AQ130" s="1">
        <v>11</v>
      </c>
      <c r="AR130" s="1">
        <v>8</v>
      </c>
      <c r="AS130" s="1">
        <v>6</v>
      </c>
      <c r="AT130" s="1">
        <v>3</v>
      </c>
      <c r="AU130" s="1">
        <v>0</v>
      </c>
      <c r="AV130" s="1">
        <v>1</v>
      </c>
      <c r="AW130" s="1">
        <v>1</v>
      </c>
      <c r="AX130" s="7"/>
      <c r="AY130" s="31">
        <f t="shared" si="51"/>
        <v>0.66666666666666663</v>
      </c>
      <c r="AZ130" s="5">
        <f t="shared" si="52"/>
        <v>2.2000000000000002</v>
      </c>
      <c r="BA130" s="5">
        <f t="shared" si="53"/>
        <v>5.5</v>
      </c>
      <c r="BB130" s="5"/>
      <c r="BC130" s="32">
        <f t="shared" si="54"/>
        <v>-0.81818181818181823</v>
      </c>
    </row>
    <row r="131" spans="2:55" ht="11.25" customHeight="1">
      <c r="C131" s="1" t="s">
        <v>266</v>
      </c>
      <c r="D131" s="1" t="s">
        <v>173</v>
      </c>
      <c r="I131" s="25"/>
      <c r="J131" s="25"/>
      <c r="K131" s="25"/>
      <c r="L131" s="25"/>
      <c r="M131" s="25"/>
      <c r="N131" s="25"/>
      <c r="AJ131" s="1">
        <v>1</v>
      </c>
      <c r="AK131" s="1">
        <v>0</v>
      </c>
      <c r="AL131" s="1">
        <v>0</v>
      </c>
      <c r="AM131" s="1">
        <v>0</v>
      </c>
      <c r="AX131" s="25"/>
      <c r="AY131" s="34" t="s">
        <v>22</v>
      </c>
      <c r="AZ131" s="3" t="s">
        <v>22</v>
      </c>
      <c r="BA131" s="3" t="s">
        <v>22</v>
      </c>
      <c r="BC131" s="33"/>
    </row>
    <row r="132" spans="2:55" ht="11.25" customHeight="1">
      <c r="C132" s="1" t="s">
        <v>368</v>
      </c>
      <c r="D132" s="1" t="s">
        <v>369</v>
      </c>
      <c r="AB132" s="7"/>
      <c r="AC132" s="7"/>
      <c r="AD132" s="7"/>
      <c r="AE132" s="7"/>
      <c r="AF132" s="7"/>
      <c r="AG132" s="7"/>
      <c r="AH132" s="7"/>
      <c r="AT132" s="1">
        <v>0</v>
      </c>
      <c r="AU132" s="1">
        <v>0</v>
      </c>
      <c r="AV132" s="1">
        <v>3</v>
      </c>
      <c r="AW132" s="1">
        <v>15</v>
      </c>
      <c r="AX132" s="25"/>
      <c r="AY132" s="31">
        <f t="shared" si="51"/>
        <v>6</v>
      </c>
      <c r="AZ132" s="3" t="s">
        <v>22</v>
      </c>
      <c r="BA132" s="3" t="s">
        <v>22</v>
      </c>
      <c r="BC132" s="33"/>
    </row>
    <row r="133" spans="2:55" ht="11.25" customHeight="1">
      <c r="C133" s="1" t="s">
        <v>152</v>
      </c>
      <c r="D133" s="1" t="s">
        <v>43</v>
      </c>
      <c r="E133" s="1">
        <v>17</v>
      </c>
      <c r="F133" s="1">
        <v>14</v>
      </c>
      <c r="G133" s="1">
        <v>12</v>
      </c>
      <c r="H133" s="1">
        <v>5</v>
      </c>
      <c r="I133" s="1">
        <v>9</v>
      </c>
      <c r="J133" s="1">
        <v>5</v>
      </c>
      <c r="K133" s="1">
        <v>5</v>
      </c>
      <c r="L133" s="1">
        <v>0</v>
      </c>
      <c r="M133" s="1">
        <v>7</v>
      </c>
      <c r="N133" s="1">
        <v>8</v>
      </c>
      <c r="O133" s="1">
        <v>5</v>
      </c>
      <c r="P133" s="1">
        <v>16</v>
      </c>
      <c r="Q133" s="1">
        <v>18</v>
      </c>
      <c r="R133" s="1">
        <v>26</v>
      </c>
      <c r="S133" s="1">
        <f>3+15</f>
        <v>18</v>
      </c>
      <c r="T133" s="1">
        <v>19</v>
      </c>
      <c r="U133" s="1">
        <v>11</v>
      </c>
      <c r="V133" s="1">
        <v>4</v>
      </c>
      <c r="W133" s="1">
        <v>7</v>
      </c>
      <c r="X133" s="1">
        <v>10</v>
      </c>
      <c r="Y133" s="1">
        <f>10+9</f>
        <v>19</v>
      </c>
      <c r="Z133" s="1">
        <f>14+6</f>
        <v>20</v>
      </c>
      <c r="AA133" s="1">
        <v>15</v>
      </c>
      <c r="AB133" s="1">
        <v>13</v>
      </c>
      <c r="AC133" s="1">
        <v>16</v>
      </c>
      <c r="AD133" s="1">
        <v>21</v>
      </c>
      <c r="AE133" s="1">
        <v>26</v>
      </c>
      <c r="AF133" s="1">
        <v>25</v>
      </c>
      <c r="AG133" s="1">
        <v>18</v>
      </c>
      <c r="AH133" s="1">
        <v>23</v>
      </c>
      <c r="AI133" s="1">
        <v>20</v>
      </c>
      <c r="AJ133" s="1">
        <v>18</v>
      </c>
      <c r="AK133" s="1">
        <v>33</v>
      </c>
      <c r="AL133" s="1">
        <v>22</v>
      </c>
      <c r="AM133" s="1">
        <v>22</v>
      </c>
      <c r="AN133" s="1">
        <v>18</v>
      </c>
      <c r="AO133" s="1">
        <v>21</v>
      </c>
      <c r="AP133" s="1">
        <v>26</v>
      </c>
      <c r="AQ133" s="1">
        <v>37</v>
      </c>
      <c r="AR133" s="1">
        <v>18</v>
      </c>
      <c r="AS133" s="1">
        <v>24</v>
      </c>
      <c r="AT133" s="1">
        <v>19</v>
      </c>
      <c r="AU133" s="1">
        <v>24</v>
      </c>
      <c r="AV133" s="1">
        <v>9</v>
      </c>
      <c r="AW133" s="1">
        <v>16</v>
      </c>
      <c r="AY133" s="31">
        <f>IF(SUM(AU133:AW133)&gt;=0,AVERAGE(AU133:AW133),"")</f>
        <v>16.333333333333332</v>
      </c>
      <c r="AZ133" s="5">
        <f>IF(SUM(AS133:AW133)&gt;=0,AVERAGE(AS133:AW133),"")</f>
        <v>18.399999999999999</v>
      </c>
      <c r="BA133" s="5">
        <f>IF(SUM(AN133:AW133)&gt;=0,AVERAGE(AN133:AW133),"")</f>
        <v>21.2</v>
      </c>
      <c r="BB133" s="5"/>
      <c r="BC133" s="32">
        <f>(AW133-BA133)/BA133</f>
        <v>-0.2452830188679245</v>
      </c>
    </row>
    <row r="134" spans="2:55" ht="11.25" customHeight="1">
      <c r="D134" s="1" t="s">
        <v>153</v>
      </c>
      <c r="E134" s="1">
        <v>0</v>
      </c>
      <c r="F134" s="1">
        <v>2</v>
      </c>
      <c r="G134" s="1">
        <v>5</v>
      </c>
      <c r="H134" s="1">
        <v>4</v>
      </c>
      <c r="I134" s="1">
        <v>2</v>
      </c>
      <c r="J134" s="1">
        <v>3</v>
      </c>
      <c r="K134" s="1">
        <v>0</v>
      </c>
      <c r="L134" s="1">
        <v>2</v>
      </c>
      <c r="M134" s="1">
        <v>0</v>
      </c>
      <c r="N134" s="1">
        <v>2</v>
      </c>
      <c r="O134" s="1">
        <v>3</v>
      </c>
      <c r="P134" s="1">
        <v>1</v>
      </c>
      <c r="Q134" s="1">
        <v>0</v>
      </c>
      <c r="R134" s="1">
        <v>0</v>
      </c>
      <c r="S134" s="1">
        <v>1</v>
      </c>
      <c r="T134" s="1">
        <v>1</v>
      </c>
      <c r="U134" s="1">
        <v>0</v>
      </c>
      <c r="V134" s="1">
        <v>3</v>
      </c>
      <c r="W134" s="1">
        <v>2</v>
      </c>
      <c r="X134" s="1">
        <v>0</v>
      </c>
      <c r="Y134" s="1">
        <v>3</v>
      </c>
      <c r="Z134" s="1">
        <v>3</v>
      </c>
      <c r="AA134" s="1">
        <v>4</v>
      </c>
      <c r="AB134" s="1">
        <v>6</v>
      </c>
      <c r="AC134" s="1">
        <v>5</v>
      </c>
      <c r="AD134" s="1">
        <v>3</v>
      </c>
      <c r="AE134" s="1">
        <v>5</v>
      </c>
      <c r="AF134" s="1">
        <v>3</v>
      </c>
      <c r="AG134" s="1">
        <v>4</v>
      </c>
      <c r="AH134" s="1">
        <v>5</v>
      </c>
      <c r="AI134" s="1">
        <v>6</v>
      </c>
      <c r="AJ134" s="1">
        <v>2</v>
      </c>
      <c r="AK134" s="1">
        <v>7</v>
      </c>
      <c r="AL134" s="1">
        <v>3</v>
      </c>
      <c r="AM134" s="1">
        <v>1</v>
      </c>
      <c r="AX134" s="25"/>
      <c r="AY134" s="3" t="s">
        <v>22</v>
      </c>
      <c r="AZ134" s="3" t="s">
        <v>22</v>
      </c>
      <c r="BA134" s="3" t="s">
        <v>22</v>
      </c>
    </row>
    <row r="135" spans="2:55" ht="11.25" customHeight="1">
      <c r="AX135" s="25"/>
      <c r="AY135" s="3"/>
      <c r="AZ135" s="3"/>
      <c r="BA135" s="3"/>
    </row>
    <row r="136" spans="2:55">
      <c r="B136" s="36" t="s">
        <v>154</v>
      </c>
      <c r="C136" s="1" t="s">
        <v>155</v>
      </c>
      <c r="D136" s="1" t="s">
        <v>156</v>
      </c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N136" s="1">
        <v>0</v>
      </c>
      <c r="AO136" s="1">
        <v>0</v>
      </c>
      <c r="AP136" s="1">
        <v>1</v>
      </c>
      <c r="AQ136" s="1">
        <v>0</v>
      </c>
      <c r="AY136" s="34" t="s">
        <v>22</v>
      </c>
      <c r="AZ136" s="3" t="s">
        <v>22</v>
      </c>
      <c r="BA136" s="3" t="s">
        <v>22</v>
      </c>
    </row>
    <row r="137" spans="2:55">
      <c r="C137" s="1" t="s">
        <v>62</v>
      </c>
      <c r="D137" s="1" t="s">
        <v>63</v>
      </c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I137" s="1">
        <v>4</v>
      </c>
      <c r="AJ137" s="1">
        <v>17</v>
      </c>
      <c r="AK137" s="1">
        <v>27</v>
      </c>
      <c r="AL137" s="1">
        <v>34</v>
      </c>
      <c r="AM137" s="1">
        <v>40</v>
      </c>
      <c r="AN137" s="1">
        <v>48</v>
      </c>
      <c r="AO137" s="1">
        <v>34</v>
      </c>
      <c r="AP137" s="1">
        <v>46</v>
      </c>
      <c r="AQ137" s="1">
        <v>35</v>
      </c>
      <c r="AY137" s="34" t="s">
        <v>22</v>
      </c>
      <c r="AZ137" s="3" t="s">
        <v>22</v>
      </c>
      <c r="BA137" s="3" t="s">
        <v>22</v>
      </c>
    </row>
    <row r="138" spans="2:55">
      <c r="C138" s="1" t="s">
        <v>157</v>
      </c>
      <c r="D138" s="1" t="s">
        <v>34</v>
      </c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H138" s="1">
        <v>5</v>
      </c>
      <c r="AI138" s="1">
        <v>4</v>
      </c>
      <c r="AJ138" s="1">
        <v>3</v>
      </c>
      <c r="AK138" s="1">
        <v>4</v>
      </c>
      <c r="AL138" s="1">
        <v>6</v>
      </c>
      <c r="AM138" s="1">
        <v>10</v>
      </c>
      <c r="AN138" s="1">
        <v>13</v>
      </c>
      <c r="AO138" s="1">
        <v>6</v>
      </c>
      <c r="AP138" s="1">
        <v>11</v>
      </c>
      <c r="AQ138" s="1">
        <v>13</v>
      </c>
      <c r="AR138" s="1">
        <v>13</v>
      </c>
      <c r="AS138" s="1">
        <v>6</v>
      </c>
      <c r="AT138" s="1">
        <v>3</v>
      </c>
      <c r="AU138" s="1">
        <v>3</v>
      </c>
      <c r="AV138" s="1">
        <v>0</v>
      </c>
      <c r="AW138" s="1">
        <v>0</v>
      </c>
      <c r="AY138" s="31">
        <f>IF(SUM(AU138:AW138)&gt;=0,AVERAGE(AU138:AW138),"")</f>
        <v>1</v>
      </c>
      <c r="AZ138" s="3" t="s">
        <v>22</v>
      </c>
      <c r="BA138" s="3" t="s">
        <v>22</v>
      </c>
    </row>
    <row r="139" spans="2:55" ht="11.25" customHeight="1"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4"/>
      <c r="AZ139" s="4"/>
      <c r="BA139" s="4"/>
    </row>
    <row r="140" spans="2:55" ht="11.25" customHeight="1"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4"/>
      <c r="AZ140" s="4"/>
      <c r="BA140" s="4"/>
    </row>
    <row r="141" spans="2:55" ht="11.25" customHeight="1">
      <c r="B141" s="36" t="s">
        <v>158</v>
      </c>
      <c r="D141" s="27" t="s">
        <v>159</v>
      </c>
      <c r="E141" s="1">
        <f t="shared" ref="E141:AR141" si="55">SUM(E136,E128,E126,E124,E119,E109,E90,E78,E76,E72,E68,E66,E61,E58,E57,E55,E52,E48,E45,E43,E42,E23,E20,E19,E15)</f>
        <v>0</v>
      </c>
      <c r="F141" s="1">
        <f t="shared" si="55"/>
        <v>0</v>
      </c>
      <c r="G141" s="1">
        <f t="shared" si="55"/>
        <v>0</v>
      </c>
      <c r="H141" s="1">
        <f t="shared" si="55"/>
        <v>0</v>
      </c>
      <c r="I141" s="1">
        <f t="shared" si="55"/>
        <v>0</v>
      </c>
      <c r="J141" s="1">
        <f t="shared" si="55"/>
        <v>0</v>
      </c>
      <c r="K141" s="1">
        <f t="shared" si="55"/>
        <v>0</v>
      </c>
      <c r="L141" s="1">
        <f t="shared" si="55"/>
        <v>0</v>
      </c>
      <c r="M141" s="1">
        <f t="shared" si="55"/>
        <v>0</v>
      </c>
      <c r="N141" s="1">
        <f t="shared" si="55"/>
        <v>0</v>
      </c>
      <c r="O141" s="1">
        <f t="shared" si="55"/>
        <v>0</v>
      </c>
      <c r="P141" s="1">
        <f t="shared" si="55"/>
        <v>0</v>
      </c>
      <c r="Q141" s="1">
        <f t="shared" si="55"/>
        <v>0</v>
      </c>
      <c r="R141" s="1">
        <f t="shared" si="55"/>
        <v>0</v>
      </c>
      <c r="S141" s="1">
        <f t="shared" si="55"/>
        <v>0</v>
      </c>
      <c r="T141" s="1">
        <f t="shared" si="55"/>
        <v>0</v>
      </c>
      <c r="U141" s="1">
        <f t="shared" si="55"/>
        <v>0</v>
      </c>
      <c r="V141" s="1">
        <f t="shared" si="55"/>
        <v>0</v>
      </c>
      <c r="W141" s="1">
        <f t="shared" si="55"/>
        <v>0</v>
      </c>
      <c r="X141" s="1">
        <f t="shared" si="55"/>
        <v>0</v>
      </c>
      <c r="Y141" s="1">
        <f t="shared" si="55"/>
        <v>0</v>
      </c>
      <c r="Z141" s="1">
        <f t="shared" si="55"/>
        <v>0</v>
      </c>
      <c r="AA141" s="1">
        <f t="shared" si="55"/>
        <v>0</v>
      </c>
      <c r="AB141" s="1">
        <f t="shared" si="55"/>
        <v>0</v>
      </c>
      <c r="AC141" s="1">
        <f t="shared" si="55"/>
        <v>0</v>
      </c>
      <c r="AD141" s="1">
        <f t="shared" si="55"/>
        <v>0</v>
      </c>
      <c r="AE141" s="1">
        <f t="shared" si="55"/>
        <v>0</v>
      </c>
      <c r="AF141" s="1">
        <f t="shared" si="55"/>
        <v>0</v>
      </c>
      <c r="AG141" s="1">
        <f t="shared" si="55"/>
        <v>0</v>
      </c>
      <c r="AH141" s="1">
        <f t="shared" si="55"/>
        <v>0</v>
      </c>
      <c r="AI141" s="1">
        <f t="shared" si="55"/>
        <v>0</v>
      </c>
      <c r="AJ141" s="1">
        <f t="shared" si="55"/>
        <v>0</v>
      </c>
      <c r="AK141" s="1">
        <f t="shared" si="55"/>
        <v>0</v>
      </c>
      <c r="AL141" s="1">
        <f t="shared" si="55"/>
        <v>0</v>
      </c>
      <c r="AM141" s="1">
        <f t="shared" si="55"/>
        <v>0</v>
      </c>
      <c r="AN141" s="1">
        <f t="shared" si="55"/>
        <v>2</v>
      </c>
      <c r="AO141" s="1">
        <f t="shared" si="55"/>
        <v>20</v>
      </c>
      <c r="AP141" s="1">
        <f t="shared" si="55"/>
        <v>34</v>
      </c>
      <c r="AQ141" s="1">
        <f t="shared" si="55"/>
        <v>29</v>
      </c>
      <c r="AR141" s="1">
        <f t="shared" si="55"/>
        <v>36</v>
      </c>
      <c r="AS141" s="1">
        <f t="shared" ref="AS141" si="56">SUM(AS136,AS128,AS126,AS124,AS119,AS109,AS90,AS78,AS76,AS72,AS68,AS66,AS61,AS58,AS57,AS55,AS52,AS48,AS45,AS43,AS42,AS23,AS20,AS19,AS15)</f>
        <v>35</v>
      </c>
      <c r="AT141" s="1">
        <f>SUM(AT136,AT128,AT126,AT124,AT119,AT109,AT90,AT78,AT76,AT72,AT68,AT66,AT61,AT58,AT57,AT55,AT52,AT48,AT45,AT43,AT42,AT23,AT20,AT19,AT15)</f>
        <v>66</v>
      </c>
      <c r="AU141" s="1">
        <f t="shared" ref="AU141:AW141" si="57">SUM(AU136,AU128,AU126,AU124,AU119,AU109,AU90,AU78,AU76,AU72,AU68,AU66,AU61,AU58,AU57,AU55,AU52,AU48,AU45,AU43,AU42,AU23,AU20,AU19,AU15)</f>
        <v>52</v>
      </c>
      <c r="AV141" s="1">
        <f t="shared" si="57"/>
        <v>93</v>
      </c>
      <c r="AW141" s="1">
        <f t="shared" si="57"/>
        <v>97</v>
      </c>
      <c r="AX141" s="25"/>
      <c r="AY141" s="31">
        <f>IF(SUM(AU141:AW141)&gt;=0,AVERAGE(AU141:AW141),"")</f>
        <v>80.666666666666671</v>
      </c>
      <c r="AZ141" s="5">
        <f t="shared" ref="AZ141:AZ145" si="58">IF(SUM(AS141:AW141)&gt;=0,AVERAGE(AS141:AW141),"")</f>
        <v>68.599999999999994</v>
      </c>
      <c r="BA141" s="5">
        <f t="shared" ref="BA141:BA145" si="59">IF(SUM(AN141:AW141)&gt;=0,AVERAGE(AN141:AW141),"")</f>
        <v>46.4</v>
      </c>
      <c r="BB141" s="5"/>
      <c r="BC141" s="32">
        <f t="shared" ref="BC141:BC145" si="60">(AW141-BA141)/BA141</f>
        <v>1.0905172413793105</v>
      </c>
    </row>
    <row r="142" spans="2:55" ht="11.25" customHeight="1">
      <c r="D142" s="27" t="s">
        <v>160</v>
      </c>
      <c r="E142" s="28">
        <f t="shared" ref="E142:AR142" si="61">E17+E18+E22+E13+E25+E26+E28+E36+E40+E44+E62+E69+E74+E80+E92+E97+E98+E101+E108+E113+E116+E120+E133+E137+E138+E132+E104+E95+E85+E86+E87+E88+E67+E53+E51+E49</f>
        <v>476</v>
      </c>
      <c r="F142" s="28">
        <f t="shared" si="61"/>
        <v>420</v>
      </c>
      <c r="G142" s="28">
        <f t="shared" si="61"/>
        <v>396</v>
      </c>
      <c r="H142" s="28">
        <f t="shared" si="61"/>
        <v>407</v>
      </c>
      <c r="I142" s="28">
        <f t="shared" si="61"/>
        <v>386</v>
      </c>
      <c r="J142" s="28">
        <f t="shared" si="61"/>
        <v>375</v>
      </c>
      <c r="K142" s="28">
        <f t="shared" si="61"/>
        <v>375</v>
      </c>
      <c r="L142" s="28">
        <f t="shared" si="61"/>
        <v>397</v>
      </c>
      <c r="M142" s="28">
        <f t="shared" si="61"/>
        <v>341</v>
      </c>
      <c r="N142" s="28">
        <f t="shared" si="61"/>
        <v>365</v>
      </c>
      <c r="O142" s="28">
        <f t="shared" si="61"/>
        <v>424</v>
      </c>
      <c r="P142" s="28">
        <f t="shared" si="61"/>
        <v>446</v>
      </c>
      <c r="Q142" s="28">
        <f t="shared" si="61"/>
        <v>469</v>
      </c>
      <c r="R142" s="28">
        <f t="shared" si="61"/>
        <v>509</v>
      </c>
      <c r="S142" s="28">
        <f t="shared" si="61"/>
        <v>519</v>
      </c>
      <c r="T142" s="28">
        <f t="shared" si="61"/>
        <v>558</v>
      </c>
      <c r="U142" s="28">
        <f t="shared" si="61"/>
        <v>578</v>
      </c>
      <c r="V142" s="28">
        <f t="shared" si="61"/>
        <v>566</v>
      </c>
      <c r="W142" s="28">
        <f t="shared" si="61"/>
        <v>562</v>
      </c>
      <c r="X142" s="28">
        <f t="shared" si="61"/>
        <v>616</v>
      </c>
      <c r="Y142" s="28">
        <f t="shared" si="61"/>
        <v>607</v>
      </c>
      <c r="Z142" s="28">
        <f t="shared" si="61"/>
        <v>633</v>
      </c>
      <c r="AA142" s="28">
        <f t="shared" si="61"/>
        <v>669</v>
      </c>
      <c r="AB142" s="28">
        <f t="shared" si="61"/>
        <v>685</v>
      </c>
      <c r="AC142" s="28">
        <f t="shared" si="61"/>
        <v>665</v>
      </c>
      <c r="AD142" s="28">
        <f t="shared" si="61"/>
        <v>800</v>
      </c>
      <c r="AE142" s="28">
        <f t="shared" si="61"/>
        <v>751</v>
      </c>
      <c r="AF142" s="28">
        <f t="shared" si="61"/>
        <v>807</v>
      </c>
      <c r="AG142" s="28">
        <f t="shared" si="61"/>
        <v>845</v>
      </c>
      <c r="AH142" s="28">
        <f t="shared" si="61"/>
        <v>912</v>
      </c>
      <c r="AI142" s="28">
        <f t="shared" si="61"/>
        <v>877</v>
      </c>
      <c r="AJ142" s="28">
        <f t="shared" si="61"/>
        <v>877</v>
      </c>
      <c r="AK142" s="28">
        <f t="shared" si="61"/>
        <v>915</v>
      </c>
      <c r="AL142" s="28">
        <f t="shared" si="61"/>
        <v>937</v>
      </c>
      <c r="AM142" s="28">
        <f t="shared" si="61"/>
        <v>903</v>
      </c>
      <c r="AN142" s="28">
        <f t="shared" si="61"/>
        <v>969</v>
      </c>
      <c r="AO142" s="28">
        <f t="shared" si="61"/>
        <v>938</v>
      </c>
      <c r="AP142" s="28">
        <f t="shared" si="61"/>
        <v>1100</v>
      </c>
      <c r="AQ142" s="28">
        <f t="shared" si="61"/>
        <v>1111</v>
      </c>
      <c r="AR142" s="28">
        <f t="shared" si="61"/>
        <v>927</v>
      </c>
      <c r="AS142" s="28">
        <f t="shared" ref="AS142" si="62">AS17+AS18+AS22+AS13+AS25+AS26+AS28+AS36+AS40+AS44+AS62+AS69+AS74+AS80+AS92+AS97+AS98+AS101+AS108+AS113+AS116+AS120+AS133+AS137+AS138+AS132+AS104+AS95+AS85+AS86+AS87+AS88+AS67+AS53+AS51+AS49</f>
        <v>923</v>
      </c>
      <c r="AT142" s="28">
        <f>AT17+AT18+AT22+AT13+AT25+AT26+AT28+AT36+AT40+AT44+AT62+AT69+AT74+AT80+AT92+AT97+AT98+AT101+AT108+AT113+AT116+AT120+AT133+AT137+AT138+AT132+AT104+AT95+AT85+AT86+AT87+AT88+AT67+AT53+AT51+AT49</f>
        <v>914</v>
      </c>
      <c r="AU142" s="28">
        <f t="shared" ref="AU142:AV142" si="63">AU17+AU18+AU22+AU13+AU25+AU26+AU28+AU36+AU40+AU44+AU62+AU69+AU74+AU80+AU92+AU97+AU98+AU101+AU108+AU113+AU116+AU120+AU133+AU137+AU138+AU132+AU104+AU95+AU85+AU86+AU87+AU88+AU67+AU53+AU51+AU49</f>
        <v>869</v>
      </c>
      <c r="AV142" s="28">
        <f t="shared" si="63"/>
        <v>871</v>
      </c>
      <c r="AW142" s="28">
        <f>AW17+AW18+AW22+AW13+AW25+AW26+AW28+AW36+AW40+AW44+AW62+AW69+AW74+AW80+AW92+AW97+AW98+AW101+AW108+AW113+AW116+AW120+AW133+AW137+AW138+AW132+AW104+AW95+AW85+AW86+AW87+AW88+AW67+AW53+AW51+AW49</f>
        <v>789</v>
      </c>
      <c r="AX142" s="28"/>
      <c r="AY142" s="31">
        <f>IF(SUM(AU142:AW142)&gt;=0,AVERAGE(AU142:AW142),"")</f>
        <v>843</v>
      </c>
      <c r="AZ142" s="5">
        <f t="shared" si="58"/>
        <v>873.2</v>
      </c>
      <c r="BA142" s="5">
        <f t="shared" si="59"/>
        <v>941.1</v>
      </c>
      <c r="BB142" s="5"/>
      <c r="BC142" s="32">
        <f t="shared" si="60"/>
        <v>-0.16161938157475297</v>
      </c>
    </row>
    <row r="143" spans="2:55" ht="11.25" customHeight="1">
      <c r="D143" s="27" t="s">
        <v>161</v>
      </c>
      <c r="E143" s="56">
        <f t="shared" ref="E143:AM143" si="64">E31+E34+E77+E82+E83+E123+E125+E131+E129+E112+E111+E110+E59+E56+E47</f>
        <v>0</v>
      </c>
      <c r="F143" s="56">
        <f t="shared" si="64"/>
        <v>0</v>
      </c>
      <c r="G143" s="56">
        <f t="shared" si="64"/>
        <v>0</v>
      </c>
      <c r="H143" s="56">
        <f t="shared" si="64"/>
        <v>0</v>
      </c>
      <c r="I143" s="56">
        <f t="shared" si="64"/>
        <v>0</v>
      </c>
      <c r="J143" s="56">
        <f t="shared" si="64"/>
        <v>0</v>
      </c>
      <c r="K143" s="56">
        <f t="shared" si="64"/>
        <v>0</v>
      </c>
      <c r="L143" s="56">
        <f t="shared" si="64"/>
        <v>0</v>
      </c>
      <c r="M143" s="56">
        <f t="shared" si="64"/>
        <v>0</v>
      </c>
      <c r="N143" s="56">
        <f t="shared" si="64"/>
        <v>0</v>
      </c>
      <c r="O143" s="56">
        <f t="shared" si="64"/>
        <v>0</v>
      </c>
      <c r="P143" s="56">
        <f t="shared" si="64"/>
        <v>0</v>
      </c>
      <c r="Q143" s="56">
        <f t="shared" si="64"/>
        <v>0</v>
      </c>
      <c r="R143" s="56">
        <f t="shared" si="64"/>
        <v>0</v>
      </c>
      <c r="S143" s="56">
        <f t="shared" si="64"/>
        <v>0</v>
      </c>
      <c r="T143" s="56">
        <f t="shared" si="64"/>
        <v>0</v>
      </c>
      <c r="U143" s="56">
        <f t="shared" si="64"/>
        <v>0</v>
      </c>
      <c r="V143" s="56">
        <f t="shared" si="64"/>
        <v>0</v>
      </c>
      <c r="W143" s="56">
        <f t="shared" si="64"/>
        <v>0</v>
      </c>
      <c r="X143" s="56">
        <f t="shared" si="64"/>
        <v>12</v>
      </c>
      <c r="Y143" s="56">
        <f t="shared" si="64"/>
        <v>13</v>
      </c>
      <c r="Z143" s="56">
        <f t="shared" si="64"/>
        <v>15</v>
      </c>
      <c r="AA143" s="56">
        <f t="shared" si="64"/>
        <v>14</v>
      </c>
      <c r="AB143" s="56">
        <f t="shared" si="64"/>
        <v>24</v>
      </c>
      <c r="AC143" s="56">
        <f t="shared" si="64"/>
        <v>30</v>
      </c>
      <c r="AD143" s="56">
        <f t="shared" si="64"/>
        <v>30</v>
      </c>
      <c r="AE143" s="56">
        <f t="shared" si="64"/>
        <v>28</v>
      </c>
      <c r="AF143" s="56">
        <f t="shared" si="64"/>
        <v>40</v>
      </c>
      <c r="AG143" s="56">
        <f t="shared" si="64"/>
        <v>41</v>
      </c>
      <c r="AH143" s="56">
        <f t="shared" si="64"/>
        <v>46</v>
      </c>
      <c r="AI143" s="56">
        <f t="shared" si="64"/>
        <v>33</v>
      </c>
      <c r="AJ143" s="56">
        <f t="shared" si="64"/>
        <v>61</v>
      </c>
      <c r="AK143" s="56">
        <f t="shared" si="64"/>
        <v>62</v>
      </c>
      <c r="AL143" s="56">
        <f t="shared" si="64"/>
        <v>43</v>
      </c>
      <c r="AM143" s="56">
        <f t="shared" si="64"/>
        <v>52</v>
      </c>
      <c r="AN143" s="56">
        <f t="shared" ref="AN143:AS143" si="65">AN31+AN34+AN77+AN82+AN83+AN123+AN125+AN131+AN129+AN112+AN111+AN110+AN59+AN56+AN47</f>
        <v>54</v>
      </c>
      <c r="AO143" s="56">
        <f t="shared" si="65"/>
        <v>30</v>
      </c>
      <c r="AP143" s="56">
        <f t="shared" si="65"/>
        <v>40</v>
      </c>
      <c r="AQ143" s="56">
        <f t="shared" si="65"/>
        <v>46</v>
      </c>
      <c r="AR143" s="56">
        <f t="shared" si="65"/>
        <v>38</v>
      </c>
      <c r="AS143" s="56">
        <f t="shared" si="65"/>
        <v>25</v>
      </c>
      <c r="AT143" s="56">
        <f>AT31+AT34+AT77+AT82+AT83+AT123+AT125+AT131+AT129+AT112+AT111+AT110+AT59+AT56+AT47</f>
        <v>33</v>
      </c>
      <c r="AU143" s="56">
        <f t="shared" ref="AU143:AW143" si="66">AU31+AU34+AU77+AU82+AU83+AU123+AU125+AU131+AU129+AU112+AU111+AU110+AU59+AU56+AU47</f>
        <v>21</v>
      </c>
      <c r="AV143" s="28">
        <f t="shared" si="66"/>
        <v>47</v>
      </c>
      <c r="AW143" s="28">
        <f t="shared" si="66"/>
        <v>30</v>
      </c>
      <c r="AX143" s="28"/>
      <c r="AY143" s="31">
        <f>IF(SUM(AU143:AW143)&gt;=0,AVERAGE(AU143:AW143),"")</f>
        <v>32.666666666666664</v>
      </c>
      <c r="AZ143" s="5">
        <f t="shared" si="58"/>
        <v>31.2</v>
      </c>
      <c r="BA143" s="5">
        <f t="shared" si="59"/>
        <v>36.4</v>
      </c>
      <c r="BB143" s="5"/>
      <c r="BC143" s="32">
        <f t="shared" si="60"/>
        <v>-0.17582417582417578</v>
      </c>
    </row>
    <row r="144" spans="2:55" ht="11.25" customHeight="1">
      <c r="D144" s="27" t="s">
        <v>162</v>
      </c>
      <c r="E144" s="28">
        <f>E14+E29+E37+E41+E63+E70+E73+E75+E81++E93+E99+E102+E114+E121+E134+E130+E117+E105+E54+E50</f>
        <v>43</v>
      </c>
      <c r="F144" s="28">
        <f t="shared" ref="F144:AL144" si="67">F14+F29+F37+F41+F63+F70+F73+F75+F81++F93+F99+F102+F114+F121+F134+F130+F117+F105+F54+F50</f>
        <v>54</v>
      </c>
      <c r="G144" s="28">
        <f t="shared" si="67"/>
        <v>79</v>
      </c>
      <c r="H144" s="28">
        <f t="shared" si="67"/>
        <v>56</v>
      </c>
      <c r="I144" s="28">
        <f t="shared" si="67"/>
        <v>67</v>
      </c>
      <c r="J144" s="28">
        <f t="shared" si="67"/>
        <v>66</v>
      </c>
      <c r="K144" s="28">
        <f t="shared" si="67"/>
        <v>52</v>
      </c>
      <c r="L144" s="28">
        <f t="shared" si="67"/>
        <v>58</v>
      </c>
      <c r="M144" s="28">
        <f t="shared" si="67"/>
        <v>60</v>
      </c>
      <c r="N144" s="28">
        <f t="shared" si="67"/>
        <v>66</v>
      </c>
      <c r="O144" s="28">
        <f t="shared" si="67"/>
        <v>54</v>
      </c>
      <c r="P144" s="28">
        <f t="shared" si="67"/>
        <v>72</v>
      </c>
      <c r="Q144" s="28">
        <f t="shared" si="67"/>
        <v>61</v>
      </c>
      <c r="R144" s="28">
        <f t="shared" si="67"/>
        <v>72</v>
      </c>
      <c r="S144" s="28">
        <f t="shared" si="67"/>
        <v>90</v>
      </c>
      <c r="T144" s="28">
        <f t="shared" si="67"/>
        <v>98</v>
      </c>
      <c r="U144" s="28">
        <f t="shared" si="67"/>
        <v>104</v>
      </c>
      <c r="V144" s="28">
        <f t="shared" si="67"/>
        <v>101</v>
      </c>
      <c r="W144" s="28">
        <f t="shared" si="67"/>
        <v>122</v>
      </c>
      <c r="X144" s="28">
        <f t="shared" si="67"/>
        <v>95</v>
      </c>
      <c r="Y144" s="28">
        <f t="shared" si="67"/>
        <v>130</v>
      </c>
      <c r="Z144" s="28">
        <f t="shared" si="67"/>
        <v>112</v>
      </c>
      <c r="AA144" s="28">
        <f t="shared" si="67"/>
        <v>112</v>
      </c>
      <c r="AB144" s="28">
        <f t="shared" si="67"/>
        <v>148</v>
      </c>
      <c r="AC144" s="28">
        <f t="shared" si="67"/>
        <v>166</v>
      </c>
      <c r="AD144" s="28">
        <f t="shared" si="67"/>
        <v>179</v>
      </c>
      <c r="AE144" s="28">
        <f t="shared" si="67"/>
        <v>188</v>
      </c>
      <c r="AF144" s="28">
        <f t="shared" si="67"/>
        <v>198</v>
      </c>
      <c r="AG144" s="28">
        <f t="shared" si="67"/>
        <v>207</v>
      </c>
      <c r="AH144" s="28">
        <f t="shared" si="67"/>
        <v>214</v>
      </c>
      <c r="AI144" s="28">
        <f t="shared" si="67"/>
        <v>215</v>
      </c>
      <c r="AJ144" s="28">
        <f t="shared" si="67"/>
        <v>212</v>
      </c>
      <c r="AK144" s="28">
        <f t="shared" si="67"/>
        <v>248</v>
      </c>
      <c r="AL144" s="28">
        <f t="shared" si="67"/>
        <v>227</v>
      </c>
      <c r="AM144" s="28">
        <f>AM14+AM29+AM37+AM41+AM63+AM70+AM73+AM75+AM81++AM93+AM99+AM102+AM114+AM121+AM134+AM130+AM117+AM105+AM54+AM50</f>
        <v>270</v>
      </c>
      <c r="AN144" s="28">
        <f t="shared" ref="AN144:AS144" si="68">AN14+AN29+AN37+AN41+AN63+AN70+AN73+AN75+AN81++AN93+AN99+AN102+AN114+AN121+AN134+AN130+AN117+AN105+AN54+AN50</f>
        <v>213</v>
      </c>
      <c r="AO144" s="28">
        <f t="shared" si="68"/>
        <v>188</v>
      </c>
      <c r="AP144" s="28">
        <f t="shared" si="68"/>
        <v>191</v>
      </c>
      <c r="AQ144" s="28">
        <f>AQ14+AQ29+AQ37+AQ41+AQ63+AQ70+AQ73+AQ75+AQ81++AQ93+AQ99+AQ102+AQ114+AQ121+AQ134+AQ130+AQ117+AQ105+AQ54+AQ50</f>
        <v>194</v>
      </c>
      <c r="AR144" s="28">
        <f t="shared" si="68"/>
        <v>197</v>
      </c>
      <c r="AS144" s="28">
        <f t="shared" si="68"/>
        <v>196</v>
      </c>
      <c r="AT144" s="28">
        <f>AT14+AT29+AT37+AT41+AT63+AT70+AT73+AT75+AT81++AT93+AT99+AT102+AT114+AT121+AT134+AT130+AT117+AT105+AT54+AT50</f>
        <v>150</v>
      </c>
      <c r="AU144" s="28">
        <f t="shared" ref="AU144:AW144" si="69">AU14+AU29+AU37+AU41+AU63+AU70+AU73+AU75+AU81++AU93+AU99+AU102+AU114+AU121+AU134+AU130+AU117+AU105+AU54+AU50</f>
        <v>143</v>
      </c>
      <c r="AV144" s="28">
        <f t="shared" si="69"/>
        <v>159</v>
      </c>
      <c r="AW144" s="28">
        <f t="shared" si="69"/>
        <v>121</v>
      </c>
      <c r="AX144" s="28"/>
      <c r="AY144" s="31">
        <f>IF(SUM(AU144:AW144)&gt;=0,AVERAGE(AU144:AW144),"")</f>
        <v>141</v>
      </c>
      <c r="AZ144" s="5">
        <f t="shared" si="58"/>
        <v>153.80000000000001</v>
      </c>
      <c r="BA144" s="5">
        <f t="shared" si="59"/>
        <v>175.2</v>
      </c>
      <c r="BB144" s="5"/>
      <c r="BC144" s="32">
        <f t="shared" si="60"/>
        <v>-0.30936073059360725</v>
      </c>
    </row>
    <row r="145" spans="2:56" ht="11.25" customHeight="1">
      <c r="D145" s="27" t="s">
        <v>163</v>
      </c>
      <c r="E145" s="28">
        <f t="shared" ref="E145:AM145" si="70">E30+E38+E64+E91+E115+E122+E106</f>
        <v>3</v>
      </c>
      <c r="F145" s="28">
        <f t="shared" si="70"/>
        <v>5</v>
      </c>
      <c r="G145" s="28">
        <f t="shared" si="70"/>
        <v>6</v>
      </c>
      <c r="H145" s="28">
        <f t="shared" si="70"/>
        <v>7</v>
      </c>
      <c r="I145" s="28">
        <f t="shared" si="70"/>
        <v>5</v>
      </c>
      <c r="J145" s="28">
        <f t="shared" si="70"/>
        <v>5</v>
      </c>
      <c r="K145" s="28">
        <f t="shared" si="70"/>
        <v>10</v>
      </c>
      <c r="L145" s="28">
        <f t="shared" si="70"/>
        <v>10</v>
      </c>
      <c r="M145" s="28">
        <f t="shared" si="70"/>
        <v>10</v>
      </c>
      <c r="N145" s="28">
        <f t="shared" si="70"/>
        <v>8</v>
      </c>
      <c r="O145" s="28">
        <f t="shared" si="70"/>
        <v>13</v>
      </c>
      <c r="P145" s="28">
        <f t="shared" si="70"/>
        <v>10</v>
      </c>
      <c r="Q145" s="28">
        <f t="shared" si="70"/>
        <v>14</v>
      </c>
      <c r="R145" s="28">
        <f t="shared" si="70"/>
        <v>14</v>
      </c>
      <c r="S145" s="28">
        <f t="shared" si="70"/>
        <v>18</v>
      </c>
      <c r="T145" s="28">
        <f t="shared" si="70"/>
        <v>14</v>
      </c>
      <c r="U145" s="28">
        <f t="shared" si="70"/>
        <v>8</v>
      </c>
      <c r="V145" s="28">
        <f t="shared" si="70"/>
        <v>18</v>
      </c>
      <c r="W145" s="28">
        <f t="shared" si="70"/>
        <v>14</v>
      </c>
      <c r="X145" s="28">
        <f t="shared" si="70"/>
        <v>22</v>
      </c>
      <c r="Y145" s="28">
        <f t="shared" si="70"/>
        <v>25</v>
      </c>
      <c r="Z145" s="28">
        <f t="shared" si="70"/>
        <v>22</v>
      </c>
      <c r="AA145" s="28">
        <f t="shared" si="70"/>
        <v>28</v>
      </c>
      <c r="AB145" s="28">
        <f t="shared" si="70"/>
        <v>16</v>
      </c>
      <c r="AC145" s="28">
        <f t="shared" si="70"/>
        <v>21</v>
      </c>
      <c r="AD145" s="28">
        <f t="shared" si="70"/>
        <v>20</v>
      </c>
      <c r="AE145" s="28">
        <f t="shared" si="70"/>
        <v>17</v>
      </c>
      <c r="AF145" s="28">
        <f t="shared" si="70"/>
        <v>27</v>
      </c>
      <c r="AG145" s="28">
        <f t="shared" si="70"/>
        <v>30</v>
      </c>
      <c r="AH145" s="28">
        <f t="shared" si="70"/>
        <v>30</v>
      </c>
      <c r="AI145" s="28">
        <f t="shared" si="70"/>
        <v>24</v>
      </c>
      <c r="AJ145" s="28">
        <f t="shared" si="70"/>
        <v>34</v>
      </c>
      <c r="AK145" s="28">
        <f t="shared" si="70"/>
        <v>35</v>
      </c>
      <c r="AL145" s="28">
        <f t="shared" si="70"/>
        <v>24</v>
      </c>
      <c r="AM145" s="28">
        <f t="shared" si="70"/>
        <v>33</v>
      </c>
      <c r="AN145" s="28">
        <f t="shared" ref="AN145:AS145" si="71">AN30+AN38+AN64+AN91+AN115+AN122+AN106</f>
        <v>29</v>
      </c>
      <c r="AO145" s="28">
        <f t="shared" si="71"/>
        <v>36</v>
      </c>
      <c r="AP145" s="28">
        <f t="shared" si="71"/>
        <v>32</v>
      </c>
      <c r="AQ145" s="28">
        <f t="shared" si="71"/>
        <v>29</v>
      </c>
      <c r="AR145" s="28">
        <f t="shared" si="71"/>
        <v>35</v>
      </c>
      <c r="AS145" s="28">
        <f t="shared" si="71"/>
        <v>39</v>
      </c>
      <c r="AT145" s="28">
        <f>AT30+AT38+AT64+AT91+AT115+AT122+AT106</f>
        <v>27</v>
      </c>
      <c r="AU145" s="28">
        <f t="shared" ref="AU145:AW145" si="72">AU30+AU38+AU64+AU91+AU115+AU122+AU106</f>
        <v>33</v>
      </c>
      <c r="AV145" s="28">
        <f t="shared" si="72"/>
        <v>27</v>
      </c>
      <c r="AW145" s="28">
        <f t="shared" si="72"/>
        <v>21</v>
      </c>
      <c r="AX145" s="28"/>
      <c r="AY145" s="31">
        <f>IF(SUM(AU145:AW145)&gt;=0,AVERAGE(AU145:AW145),"")</f>
        <v>27</v>
      </c>
      <c r="AZ145" s="5">
        <f t="shared" si="58"/>
        <v>29.4</v>
      </c>
      <c r="BA145" s="5">
        <f t="shared" si="59"/>
        <v>30.8</v>
      </c>
      <c r="BB145" s="5"/>
      <c r="BC145" s="32">
        <f t="shared" si="60"/>
        <v>-0.31818181818181818</v>
      </c>
    </row>
    <row r="146" spans="2:56" ht="11.25" customHeight="1">
      <c r="AY146" s="32"/>
      <c r="AZ146" s="4"/>
      <c r="BA146" s="4"/>
      <c r="BC146" s="33"/>
    </row>
    <row r="147" spans="2:56" ht="11.25" customHeight="1">
      <c r="B147" s="36" t="s">
        <v>164</v>
      </c>
      <c r="D147" s="1" t="s">
        <v>165</v>
      </c>
      <c r="E147" s="28">
        <f t="shared" ref="E147:AN147" si="73">SUM(E141:E145)</f>
        <v>522</v>
      </c>
      <c r="F147" s="28">
        <f t="shared" si="73"/>
        <v>479</v>
      </c>
      <c r="G147" s="28">
        <f t="shared" si="73"/>
        <v>481</v>
      </c>
      <c r="H147" s="28">
        <f t="shared" si="73"/>
        <v>470</v>
      </c>
      <c r="I147" s="28">
        <f t="shared" si="73"/>
        <v>458</v>
      </c>
      <c r="J147" s="28">
        <f t="shared" si="73"/>
        <v>446</v>
      </c>
      <c r="K147" s="28">
        <f t="shared" si="73"/>
        <v>437</v>
      </c>
      <c r="L147" s="28">
        <f t="shared" si="73"/>
        <v>465</v>
      </c>
      <c r="M147" s="28">
        <f t="shared" si="73"/>
        <v>411</v>
      </c>
      <c r="N147" s="28">
        <f t="shared" si="73"/>
        <v>439</v>
      </c>
      <c r="O147" s="28">
        <f t="shared" si="73"/>
        <v>491</v>
      </c>
      <c r="P147" s="28">
        <f t="shared" si="73"/>
        <v>528</v>
      </c>
      <c r="Q147" s="28">
        <f t="shared" si="73"/>
        <v>544</v>
      </c>
      <c r="R147" s="28">
        <f t="shared" si="73"/>
        <v>595</v>
      </c>
      <c r="S147" s="28">
        <f t="shared" si="73"/>
        <v>627</v>
      </c>
      <c r="T147" s="28">
        <f t="shared" si="73"/>
        <v>670</v>
      </c>
      <c r="U147" s="28">
        <f t="shared" si="73"/>
        <v>690</v>
      </c>
      <c r="V147" s="28">
        <f t="shared" si="73"/>
        <v>685</v>
      </c>
      <c r="W147" s="28">
        <f t="shared" si="73"/>
        <v>698</v>
      </c>
      <c r="X147" s="28">
        <f t="shared" si="73"/>
        <v>745</v>
      </c>
      <c r="Y147" s="28">
        <f t="shared" si="73"/>
        <v>775</v>
      </c>
      <c r="Z147" s="28">
        <f t="shared" si="73"/>
        <v>782</v>
      </c>
      <c r="AA147" s="28">
        <f t="shared" si="73"/>
        <v>823</v>
      </c>
      <c r="AB147" s="28">
        <f t="shared" si="73"/>
        <v>873</v>
      </c>
      <c r="AC147" s="28">
        <f t="shared" si="73"/>
        <v>882</v>
      </c>
      <c r="AD147" s="28">
        <f t="shared" si="73"/>
        <v>1029</v>
      </c>
      <c r="AE147" s="28">
        <f t="shared" si="73"/>
        <v>984</v>
      </c>
      <c r="AF147" s="28">
        <f t="shared" si="73"/>
        <v>1072</v>
      </c>
      <c r="AG147" s="28">
        <f t="shared" si="73"/>
        <v>1123</v>
      </c>
      <c r="AH147" s="28">
        <f t="shared" si="73"/>
        <v>1202</v>
      </c>
      <c r="AI147" s="28">
        <f t="shared" si="73"/>
        <v>1149</v>
      </c>
      <c r="AJ147" s="28">
        <f t="shared" si="73"/>
        <v>1184</v>
      </c>
      <c r="AK147" s="28">
        <f t="shared" si="73"/>
        <v>1260</v>
      </c>
      <c r="AL147" s="28">
        <f t="shared" si="73"/>
        <v>1231</v>
      </c>
      <c r="AM147" s="28">
        <f t="shared" si="73"/>
        <v>1258</v>
      </c>
      <c r="AN147" s="28">
        <f t="shared" si="73"/>
        <v>1267</v>
      </c>
      <c r="AO147" s="28">
        <f t="shared" ref="AO147:AR147" si="74">SUM(AO141:AO145)</f>
        <v>1212</v>
      </c>
      <c r="AP147" s="28">
        <f t="shared" si="74"/>
        <v>1397</v>
      </c>
      <c r="AQ147" s="28">
        <f>SUM(AQ141:AQ145)</f>
        <v>1409</v>
      </c>
      <c r="AR147" s="28">
        <f t="shared" si="74"/>
        <v>1233</v>
      </c>
      <c r="AS147" s="28">
        <f>SUM(AS141:AS145)</f>
        <v>1218</v>
      </c>
      <c r="AT147" s="28">
        <f t="shared" ref="AT147:AW147" si="75">SUM(AT141:AT145)</f>
        <v>1190</v>
      </c>
      <c r="AU147" s="28">
        <f t="shared" si="75"/>
        <v>1118</v>
      </c>
      <c r="AV147" s="28">
        <f t="shared" si="75"/>
        <v>1197</v>
      </c>
      <c r="AW147" s="28">
        <f t="shared" si="75"/>
        <v>1058</v>
      </c>
      <c r="AX147" s="28"/>
      <c r="AY147" s="31">
        <f>IF(SUM(AU147:AW147)&gt;=0,AVERAGE(AU147:AW147),"")</f>
        <v>1124.3333333333333</v>
      </c>
      <c r="AZ147" s="5">
        <f>IF(SUM(AS147:AW147)&gt;=0,AVERAGE(AS147:AW147),"")</f>
        <v>1156.2</v>
      </c>
      <c r="BA147" s="5">
        <f>IF(SUM(AN147:AW147)&gt;=0,AVERAGE(AN147:AW147),"")</f>
        <v>1229.9000000000001</v>
      </c>
      <c r="BB147" s="5"/>
      <c r="BC147" s="32">
        <f>(AW147-BA147)/BA147</f>
        <v>-0.13976746076916829</v>
      </c>
    </row>
    <row r="148" spans="2:56" ht="11.25" customHeight="1">
      <c r="I148" s="1" t="str">
        <f t="shared" ref="I148:T148" si="76">IF(I147=SUM(I142:I145),"","ERR")</f>
        <v/>
      </c>
      <c r="J148" s="1" t="str">
        <f t="shared" si="76"/>
        <v/>
      </c>
      <c r="K148" s="1" t="str">
        <f t="shared" si="76"/>
        <v/>
      </c>
      <c r="L148" s="1" t="str">
        <f t="shared" si="76"/>
        <v/>
      </c>
      <c r="M148" s="1" t="str">
        <f t="shared" si="76"/>
        <v/>
      </c>
      <c r="N148" s="1" t="str">
        <f t="shared" si="76"/>
        <v/>
      </c>
      <c r="O148" s="1" t="str">
        <f t="shared" si="76"/>
        <v/>
      </c>
      <c r="P148" s="1" t="str">
        <f t="shared" si="76"/>
        <v/>
      </c>
      <c r="Q148" s="1" t="str">
        <f t="shared" si="76"/>
        <v/>
      </c>
      <c r="R148" s="1" t="str">
        <f t="shared" si="76"/>
        <v/>
      </c>
      <c r="S148" s="1" t="str">
        <f t="shared" si="76"/>
        <v/>
      </c>
      <c r="T148" s="1" t="str">
        <f t="shared" si="76"/>
        <v/>
      </c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4"/>
      <c r="AZ148" s="4"/>
      <c r="BA148" s="4"/>
    </row>
    <row r="149" spans="2:56" ht="11.25" customHeight="1"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4"/>
      <c r="AZ149" s="4"/>
      <c r="BA149" s="4"/>
    </row>
    <row r="150" spans="2:56" ht="21.75" customHeight="1">
      <c r="B150" s="50" t="s">
        <v>166</v>
      </c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20"/>
      <c r="BC150" s="20"/>
      <c r="BD150" s="20"/>
    </row>
    <row r="152" spans="2:56" ht="11.25" customHeight="1">
      <c r="B152" s="36" t="s">
        <v>377</v>
      </c>
      <c r="C152" s="1" t="s">
        <v>168</v>
      </c>
      <c r="D152" s="1" t="s">
        <v>169</v>
      </c>
      <c r="I152" s="25" t="s">
        <v>29</v>
      </c>
      <c r="J152" s="25" t="s">
        <v>29</v>
      </c>
      <c r="K152" s="25" t="s">
        <v>29</v>
      </c>
      <c r="L152" s="25" t="s">
        <v>29</v>
      </c>
      <c r="M152" s="25" t="s">
        <v>29</v>
      </c>
      <c r="N152" s="25" t="s">
        <v>29</v>
      </c>
      <c r="O152" s="25" t="s">
        <v>29</v>
      </c>
      <c r="P152" s="25" t="s">
        <v>29</v>
      </c>
      <c r="Q152" s="25" t="s">
        <v>29</v>
      </c>
      <c r="R152" s="25" t="s">
        <v>29</v>
      </c>
      <c r="S152" s="25" t="s">
        <v>29</v>
      </c>
      <c r="T152" s="25" t="s">
        <v>29</v>
      </c>
      <c r="U152" s="25" t="s">
        <v>29</v>
      </c>
      <c r="V152" s="25" t="s">
        <v>29</v>
      </c>
      <c r="W152" s="25"/>
      <c r="X152" s="25"/>
      <c r="Y152" s="1">
        <v>99</v>
      </c>
      <c r="Z152" s="1">
        <v>132</v>
      </c>
      <c r="AA152" s="1">
        <v>81</v>
      </c>
      <c r="AB152" s="1">
        <v>79</v>
      </c>
      <c r="AC152" s="1">
        <v>83</v>
      </c>
      <c r="AD152" s="1">
        <v>94</v>
      </c>
      <c r="AE152" s="1">
        <v>110</v>
      </c>
      <c r="AF152" s="1">
        <v>103</v>
      </c>
      <c r="AG152" s="1">
        <v>102</v>
      </c>
      <c r="AH152" s="1">
        <v>133</v>
      </c>
      <c r="AI152" s="1">
        <v>152</v>
      </c>
      <c r="AJ152" s="1">
        <v>117</v>
      </c>
      <c r="AK152" s="1">
        <v>132</v>
      </c>
      <c r="AL152" s="1">
        <v>132</v>
      </c>
      <c r="AM152" s="1">
        <v>100</v>
      </c>
      <c r="AN152" s="1">
        <v>76</v>
      </c>
      <c r="AO152" s="1">
        <v>107</v>
      </c>
      <c r="AP152" s="1">
        <v>101</v>
      </c>
      <c r="AQ152" s="1">
        <v>96</v>
      </c>
      <c r="AR152" s="1">
        <v>105</v>
      </c>
      <c r="AS152" s="1">
        <v>109</v>
      </c>
      <c r="AT152" s="1">
        <v>100</v>
      </c>
      <c r="AU152" s="1">
        <v>114</v>
      </c>
      <c r="AV152" s="1">
        <v>106</v>
      </c>
      <c r="AW152" s="1">
        <v>90</v>
      </c>
      <c r="AY152" s="31">
        <f t="shared" ref="AY152:AY153" si="77">IF(SUM(AU152:AW152)&gt;=0,AVERAGE(AU152:AW152),"")</f>
        <v>103.33333333333333</v>
      </c>
      <c r="AZ152" s="5">
        <f t="shared" ref="AZ152:AZ163" si="78">IF(SUM(AS152:AW152)&gt;=0,AVERAGE(AS152:AW152),"")</f>
        <v>103.8</v>
      </c>
      <c r="BA152" s="5">
        <f t="shared" ref="BA152:BA163" si="79">IF(SUM(AN152:AW152)&gt;=0,AVERAGE(AN152:AW152),"")</f>
        <v>100.4</v>
      </c>
      <c r="BB152" s="5"/>
      <c r="BC152" s="32">
        <f t="shared" ref="BC152:BC163" si="80">(AW152-BA152)/BA152</f>
        <v>-0.10358565737051798</v>
      </c>
    </row>
    <row r="153" spans="2:56" ht="11.25" customHeight="1">
      <c r="D153" s="1" t="s">
        <v>170</v>
      </c>
      <c r="I153" s="1">
        <v>1</v>
      </c>
      <c r="J153" s="1">
        <v>0</v>
      </c>
      <c r="K153" s="1">
        <v>1</v>
      </c>
      <c r="L153" s="1">
        <v>1</v>
      </c>
      <c r="M153" s="1">
        <v>2</v>
      </c>
      <c r="N153" s="1">
        <v>2</v>
      </c>
      <c r="O153" s="1">
        <v>6</v>
      </c>
      <c r="P153" s="1">
        <v>9</v>
      </c>
      <c r="Q153" s="1">
        <v>7</v>
      </c>
      <c r="R153" s="1">
        <v>19</v>
      </c>
      <c r="S153" s="1">
        <v>20</v>
      </c>
      <c r="T153" s="1">
        <v>16</v>
      </c>
      <c r="U153" s="1">
        <v>20</v>
      </c>
      <c r="V153" s="1">
        <v>18</v>
      </c>
      <c r="W153" s="1">
        <v>17</v>
      </c>
      <c r="X153" s="1">
        <v>9</v>
      </c>
      <c r="Y153" s="1">
        <f>5+3</f>
        <v>8</v>
      </c>
      <c r="Z153" s="1">
        <f>4+2</f>
        <v>6</v>
      </c>
      <c r="AA153" s="1">
        <v>4</v>
      </c>
      <c r="AB153" s="1">
        <v>2</v>
      </c>
      <c r="AC153" s="1">
        <v>13</v>
      </c>
      <c r="AD153" s="1">
        <v>11</v>
      </c>
      <c r="AE153" s="1">
        <v>14</v>
      </c>
      <c r="AF153" s="1">
        <v>10</v>
      </c>
      <c r="AG153" s="1">
        <v>9</v>
      </c>
      <c r="AH153" s="1">
        <v>17</v>
      </c>
      <c r="AI153" s="1">
        <v>22</v>
      </c>
      <c r="AJ153" s="1">
        <v>25</v>
      </c>
      <c r="AK153" s="1">
        <v>36</v>
      </c>
      <c r="AL153" s="1">
        <v>40</v>
      </c>
      <c r="AM153" s="1">
        <v>46</v>
      </c>
      <c r="AN153" s="1">
        <v>43</v>
      </c>
      <c r="AO153" s="1">
        <v>30</v>
      </c>
      <c r="AP153" s="1">
        <v>34</v>
      </c>
      <c r="AQ153" s="1">
        <v>25</v>
      </c>
      <c r="AR153" s="1">
        <v>37</v>
      </c>
      <c r="AS153" s="1">
        <v>19</v>
      </c>
      <c r="AT153" s="1">
        <v>35</v>
      </c>
      <c r="AU153" s="1">
        <v>20</v>
      </c>
      <c r="AV153" s="1">
        <v>18</v>
      </c>
      <c r="AW153" s="1">
        <v>25</v>
      </c>
      <c r="AY153" s="31">
        <f t="shared" si="77"/>
        <v>21</v>
      </c>
      <c r="AZ153" s="5">
        <f t="shared" si="78"/>
        <v>23.4</v>
      </c>
      <c r="BA153" s="5">
        <f t="shared" si="79"/>
        <v>28.6</v>
      </c>
      <c r="BB153" s="5"/>
      <c r="BC153" s="32">
        <f t="shared" si="80"/>
        <v>-0.12587412587412591</v>
      </c>
    </row>
    <row r="154" spans="2:56" ht="11.25" customHeight="1">
      <c r="C154" s="1" t="s">
        <v>370</v>
      </c>
      <c r="D154" s="1" t="s">
        <v>79</v>
      </c>
      <c r="AV154" s="1">
        <v>0</v>
      </c>
      <c r="AW154" s="1">
        <v>2</v>
      </c>
      <c r="AX154" s="25"/>
      <c r="AY154" s="34" t="s">
        <v>22</v>
      </c>
      <c r="AZ154" s="3" t="s">
        <v>22</v>
      </c>
      <c r="BA154" s="3" t="s">
        <v>22</v>
      </c>
      <c r="BC154" s="33"/>
    </row>
    <row r="155" spans="2:56" ht="11.25" customHeight="1">
      <c r="C155" s="1" t="s">
        <v>371</v>
      </c>
      <c r="D155" s="1" t="s">
        <v>372</v>
      </c>
      <c r="AT155" s="1">
        <v>0</v>
      </c>
      <c r="AU155" s="1">
        <v>0</v>
      </c>
      <c r="AV155" s="1">
        <v>1</v>
      </c>
      <c r="AW155" s="1">
        <v>1</v>
      </c>
      <c r="AX155" s="25"/>
      <c r="AY155" s="31">
        <f>IF(SUM(AU155:AW155)&gt;=0,AVERAGE(AU155:AW155),"")</f>
        <v>0.66666666666666663</v>
      </c>
      <c r="AZ155" s="3" t="s">
        <v>22</v>
      </c>
      <c r="BA155" s="3" t="s">
        <v>22</v>
      </c>
      <c r="BC155" s="33"/>
    </row>
    <row r="156" spans="2:56" ht="11.25" customHeight="1">
      <c r="C156" s="1" t="s">
        <v>373</v>
      </c>
      <c r="D156" s="1" t="s">
        <v>79</v>
      </c>
      <c r="AV156" s="1">
        <v>0</v>
      </c>
      <c r="AW156" s="1">
        <v>1</v>
      </c>
      <c r="AX156" s="25"/>
      <c r="AY156" s="34" t="s">
        <v>22</v>
      </c>
      <c r="AZ156" s="3" t="s">
        <v>22</v>
      </c>
      <c r="BA156" s="3" t="s">
        <v>22</v>
      </c>
      <c r="BC156" s="33"/>
    </row>
    <row r="157" spans="2:56" ht="11.25" customHeight="1">
      <c r="C157" s="1" t="s">
        <v>374</v>
      </c>
      <c r="D157" s="1" t="s">
        <v>79</v>
      </c>
      <c r="AV157" s="1">
        <v>0</v>
      </c>
      <c r="AW157" s="1">
        <v>1</v>
      </c>
      <c r="AX157" s="25"/>
      <c r="AY157" s="34" t="s">
        <v>22</v>
      </c>
      <c r="AZ157" s="3" t="s">
        <v>22</v>
      </c>
      <c r="BA157" s="3" t="s">
        <v>22</v>
      </c>
      <c r="BC157" s="33"/>
    </row>
    <row r="158" spans="2:56" ht="11.25" customHeight="1">
      <c r="C158" s="1" t="s">
        <v>375</v>
      </c>
      <c r="D158" s="1" t="s">
        <v>376</v>
      </c>
      <c r="AV158" s="1">
        <v>1</v>
      </c>
      <c r="AW158" s="1">
        <v>5</v>
      </c>
      <c r="AX158" s="25"/>
      <c r="AY158" s="34" t="s">
        <v>22</v>
      </c>
      <c r="AZ158" s="3" t="s">
        <v>22</v>
      </c>
      <c r="BA158" s="3" t="s">
        <v>22</v>
      </c>
      <c r="BC158" s="33"/>
    </row>
    <row r="159" spans="2:56" ht="11.25" customHeight="1">
      <c r="AX159" s="25"/>
      <c r="AY159" s="34"/>
      <c r="AZ159" s="3"/>
      <c r="BA159" s="3"/>
      <c r="BC159" s="33"/>
    </row>
    <row r="160" spans="2:56" ht="11.25" customHeight="1">
      <c r="B160" s="36" t="s">
        <v>167</v>
      </c>
      <c r="C160" s="1" t="s">
        <v>379</v>
      </c>
      <c r="D160" s="1" t="s">
        <v>175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1</v>
      </c>
      <c r="AI160" s="1">
        <v>1</v>
      </c>
      <c r="AJ160" s="1">
        <v>0</v>
      </c>
      <c r="AK160" s="1">
        <v>2</v>
      </c>
      <c r="AL160" s="1">
        <v>1</v>
      </c>
      <c r="AM160" s="1">
        <v>2</v>
      </c>
      <c r="AN160" s="1">
        <v>0</v>
      </c>
      <c r="AO160" s="1">
        <v>0</v>
      </c>
      <c r="AP160" s="1">
        <v>8</v>
      </c>
      <c r="AQ160" s="1">
        <v>3</v>
      </c>
      <c r="AR160" s="1">
        <v>1</v>
      </c>
      <c r="AS160" s="1">
        <v>1</v>
      </c>
      <c r="AT160" s="1">
        <v>3</v>
      </c>
      <c r="AU160" s="1">
        <v>3</v>
      </c>
      <c r="AV160" s="1">
        <v>1</v>
      </c>
      <c r="AW160" s="1">
        <v>2</v>
      </c>
      <c r="AY160" s="31">
        <f>IF(SUM(AU160:AW160)&gt;=0,AVERAGE(AU160:AW160),"")</f>
        <v>2</v>
      </c>
      <c r="AZ160" s="5">
        <f t="shared" ref="AZ160" si="81">IF(SUM(AS160:AW160)&gt;=0,AVERAGE(AS160:AW160),"")</f>
        <v>2</v>
      </c>
      <c r="BA160" s="5">
        <f t="shared" ref="BA160" si="82">IF(SUM(AN160:AW160)&gt;=0,AVERAGE(AN160:AW160),"")</f>
        <v>2.2000000000000002</v>
      </c>
      <c r="BB160" s="5"/>
      <c r="BC160" s="32">
        <f t="shared" ref="BC160" si="83">(AW160-BA160)/BA160</f>
        <v>-9.0909090909090981E-2</v>
      </c>
    </row>
    <row r="161" spans="2:55" ht="11.25" customHeight="1">
      <c r="C161" s="1" t="s">
        <v>171</v>
      </c>
      <c r="D161" s="1" t="s">
        <v>172</v>
      </c>
      <c r="E161" s="1">
        <v>616</v>
      </c>
      <c r="F161" s="1">
        <v>558</v>
      </c>
      <c r="G161" s="1">
        <v>592</v>
      </c>
      <c r="H161" s="1">
        <v>585</v>
      </c>
      <c r="I161" s="1">
        <v>603</v>
      </c>
      <c r="J161" s="1">
        <v>615</v>
      </c>
      <c r="K161" s="1">
        <v>572</v>
      </c>
      <c r="L161" s="1">
        <v>570</v>
      </c>
      <c r="M161" s="1">
        <v>623</v>
      </c>
      <c r="N161" s="1">
        <v>624</v>
      </c>
      <c r="O161" s="1">
        <v>644</v>
      </c>
      <c r="P161" s="1">
        <v>711</v>
      </c>
      <c r="Q161" s="1">
        <v>750</v>
      </c>
      <c r="R161" s="1">
        <v>673</v>
      </c>
      <c r="S161" s="1">
        <f>92+195+37+34+7+131+168</f>
        <v>664</v>
      </c>
      <c r="T161" s="1">
        <v>638</v>
      </c>
      <c r="U161" s="1">
        <v>671</v>
      </c>
      <c r="V161" s="1">
        <v>499</v>
      </c>
      <c r="W161" s="1">
        <v>445</v>
      </c>
      <c r="X161" s="1">
        <f>95+37+2+27+6+86+114+51</f>
        <v>418</v>
      </c>
      <c r="Y161" s="1">
        <f>68+1+2+31+65+94+43</f>
        <v>304</v>
      </c>
      <c r="Z161" s="1">
        <f>54+5+6+7+77+81+53</f>
        <v>283</v>
      </c>
      <c r="AA161" s="1">
        <v>298</v>
      </c>
      <c r="AB161" s="1">
        <v>328</v>
      </c>
      <c r="AC161" s="1">
        <v>324</v>
      </c>
      <c r="AD161" s="1">
        <f>90+21+5+122+96+37</f>
        <v>371</v>
      </c>
      <c r="AE161" s="1">
        <v>392</v>
      </c>
      <c r="AF161" s="1">
        <v>378</v>
      </c>
      <c r="AG161" s="1">
        <v>383</v>
      </c>
      <c r="AH161" s="1">
        <v>405</v>
      </c>
      <c r="AI161" s="1">
        <v>394</v>
      </c>
      <c r="AJ161" s="1">
        <v>418</v>
      </c>
      <c r="AK161" s="1">
        <v>371</v>
      </c>
      <c r="AL161" s="1">
        <v>393</v>
      </c>
      <c r="AM161" s="1">
        <v>363</v>
      </c>
      <c r="AN161" s="1">
        <v>323</v>
      </c>
      <c r="AO161" s="1">
        <v>365</v>
      </c>
      <c r="AP161" s="1">
        <v>364</v>
      </c>
      <c r="AQ161" s="1">
        <v>376</v>
      </c>
      <c r="AR161" s="1">
        <v>369</v>
      </c>
      <c r="AS161" s="1">
        <v>368</v>
      </c>
      <c r="AT161" s="1">
        <v>365</v>
      </c>
      <c r="AU161" s="1">
        <v>366</v>
      </c>
      <c r="AV161" s="1">
        <v>331</v>
      </c>
      <c r="AW161" s="1">
        <v>333</v>
      </c>
      <c r="AY161" s="31">
        <f>IF(SUM(AU161:AW161)&gt;=0,AVERAGE(AU161:AW161),"")</f>
        <v>343.33333333333331</v>
      </c>
      <c r="AZ161" s="5">
        <f t="shared" si="78"/>
        <v>352.6</v>
      </c>
      <c r="BA161" s="5">
        <f t="shared" si="79"/>
        <v>356</v>
      </c>
      <c r="BB161" s="5"/>
      <c r="BC161" s="32">
        <f t="shared" si="80"/>
        <v>-6.4606741573033713E-2</v>
      </c>
    </row>
    <row r="162" spans="2:55" ht="11.25" customHeight="1">
      <c r="D162" s="1" t="s">
        <v>173</v>
      </c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AJ162" s="1">
        <v>1</v>
      </c>
      <c r="AK162" s="1">
        <v>0</v>
      </c>
      <c r="AL162" s="1">
        <v>0</v>
      </c>
      <c r="AM162" s="1">
        <v>2</v>
      </c>
      <c r="AN162" s="1">
        <v>1</v>
      </c>
      <c r="AO162" s="1">
        <v>0</v>
      </c>
      <c r="AP162" s="1">
        <v>1</v>
      </c>
      <c r="AQ162" s="1">
        <v>0</v>
      </c>
      <c r="AR162" s="1">
        <v>2</v>
      </c>
      <c r="AS162" s="1">
        <v>4</v>
      </c>
      <c r="AT162" s="1">
        <v>7</v>
      </c>
      <c r="AU162" s="1">
        <v>11</v>
      </c>
      <c r="AV162" s="1">
        <v>4</v>
      </c>
      <c r="AW162" s="1">
        <v>4</v>
      </c>
      <c r="AY162" s="31">
        <f>IF(SUM(AU162:AW162)&gt;=0,AVERAGE(AU162:AW162),"")</f>
        <v>6.333333333333333</v>
      </c>
      <c r="AZ162" s="5">
        <f t="shared" si="78"/>
        <v>6</v>
      </c>
      <c r="BA162" s="5">
        <f t="shared" si="79"/>
        <v>3.4</v>
      </c>
      <c r="BB162" s="5"/>
      <c r="BC162" s="32">
        <f t="shared" si="80"/>
        <v>0.17647058823529416</v>
      </c>
    </row>
    <row r="163" spans="2:55" ht="11" customHeight="1">
      <c r="D163" s="1" t="s">
        <v>174</v>
      </c>
      <c r="E163" s="1">
        <v>46</v>
      </c>
      <c r="F163" s="1">
        <v>76</v>
      </c>
      <c r="G163" s="1">
        <v>73</v>
      </c>
      <c r="H163" s="1">
        <v>73</v>
      </c>
      <c r="I163" s="1">
        <v>70</v>
      </c>
      <c r="J163" s="1">
        <v>93</v>
      </c>
      <c r="K163" s="1">
        <v>61</v>
      </c>
      <c r="L163" s="1">
        <v>80</v>
      </c>
      <c r="M163" s="1">
        <v>77</v>
      </c>
      <c r="N163" s="1">
        <v>69</v>
      </c>
      <c r="O163" s="1">
        <v>65</v>
      </c>
      <c r="P163" s="1">
        <v>80</v>
      </c>
      <c r="Q163" s="1">
        <v>75</v>
      </c>
      <c r="R163" s="1">
        <v>69</v>
      </c>
      <c r="S163" s="1">
        <f>64+1</f>
        <v>65</v>
      </c>
      <c r="T163" s="1">
        <v>78</v>
      </c>
      <c r="U163" s="1">
        <v>73</v>
      </c>
      <c r="V163" s="1">
        <v>68</v>
      </c>
      <c r="W163" s="1">
        <v>53</v>
      </c>
      <c r="X163" s="1">
        <v>63</v>
      </c>
      <c r="Y163" s="1">
        <v>52</v>
      </c>
      <c r="Z163" s="1">
        <v>54</v>
      </c>
      <c r="AA163" s="1">
        <v>62</v>
      </c>
      <c r="AB163" s="1">
        <v>64</v>
      </c>
      <c r="AC163" s="1">
        <v>77</v>
      </c>
      <c r="AD163" s="1">
        <f>3+4+5+75</f>
        <v>87</v>
      </c>
      <c r="AE163" s="1">
        <v>80</v>
      </c>
      <c r="AF163" s="1">
        <v>116</v>
      </c>
      <c r="AG163" s="1">
        <v>111</v>
      </c>
      <c r="AH163" s="1">
        <v>135</v>
      </c>
      <c r="AI163" s="1">
        <v>127</v>
      </c>
      <c r="AJ163" s="1">
        <v>168</v>
      </c>
      <c r="AK163" s="1">
        <v>121</v>
      </c>
      <c r="AL163" s="1">
        <v>121</v>
      </c>
      <c r="AM163" s="1">
        <v>147</v>
      </c>
      <c r="AN163" s="1">
        <v>136</v>
      </c>
      <c r="AO163" s="1">
        <v>145</v>
      </c>
      <c r="AP163" s="1">
        <v>121</v>
      </c>
      <c r="AQ163" s="1">
        <v>136</v>
      </c>
      <c r="AR163" s="1">
        <v>170</v>
      </c>
      <c r="AS163" s="1">
        <v>159</v>
      </c>
      <c r="AT163" s="1">
        <v>162</v>
      </c>
      <c r="AU163" s="1">
        <v>124</v>
      </c>
      <c r="AV163" s="1">
        <v>151</v>
      </c>
      <c r="AW163" s="1">
        <v>117</v>
      </c>
      <c r="AY163" s="31">
        <f>IF(SUM(AU163:AW163)&gt;=0,AVERAGE(AU163:AW163),"")</f>
        <v>130.66666666666666</v>
      </c>
      <c r="AZ163" s="5">
        <f t="shared" si="78"/>
        <v>142.6</v>
      </c>
      <c r="BA163" s="5">
        <f t="shared" si="79"/>
        <v>142.1</v>
      </c>
      <c r="BB163" s="5"/>
      <c r="BC163" s="32">
        <f t="shared" si="80"/>
        <v>-0.17663617171006329</v>
      </c>
    </row>
    <row r="164" spans="2:55" ht="11" customHeight="1">
      <c r="D164" s="1" t="s">
        <v>378</v>
      </c>
      <c r="AV164" s="1">
        <v>11</v>
      </c>
      <c r="AW164" s="1">
        <v>12</v>
      </c>
      <c r="AX164" s="25"/>
      <c r="AY164" s="34" t="s">
        <v>22</v>
      </c>
      <c r="AZ164" s="3" t="s">
        <v>22</v>
      </c>
      <c r="BA164" s="3" t="s">
        <v>22</v>
      </c>
      <c r="BC164" s="33"/>
    </row>
    <row r="165" spans="2:55" s="40" customFormat="1" ht="11.25" customHeight="1">
      <c r="B165" s="52"/>
      <c r="AY165" s="41"/>
      <c r="AZ165" s="42"/>
      <c r="BA165" s="42"/>
      <c r="BB165" s="42"/>
      <c r="BC165" s="43"/>
    </row>
    <row r="166" spans="2:55" s="40" customFormat="1" ht="11.25" customHeight="1">
      <c r="B166" s="52" t="s">
        <v>380</v>
      </c>
      <c r="C166" s="40" t="s">
        <v>381</v>
      </c>
      <c r="D166" s="40" t="s">
        <v>47</v>
      </c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AJ166" s="40">
        <v>2</v>
      </c>
      <c r="AK166" s="40">
        <v>3</v>
      </c>
      <c r="AL166" s="40">
        <v>5</v>
      </c>
      <c r="AM166" s="40">
        <v>4</v>
      </c>
      <c r="AN166" s="40">
        <v>2</v>
      </c>
      <c r="AO166" s="40">
        <v>3</v>
      </c>
      <c r="AP166" s="40">
        <v>2</v>
      </c>
      <c r="AQ166" s="40">
        <v>3</v>
      </c>
      <c r="AR166" s="40">
        <v>5</v>
      </c>
      <c r="AS166" s="40">
        <v>2</v>
      </c>
      <c r="AT166" s="40">
        <v>0</v>
      </c>
      <c r="AU166" s="40">
        <v>0</v>
      </c>
      <c r="AV166" s="40">
        <v>2</v>
      </c>
      <c r="AW166" s="40">
        <v>7</v>
      </c>
      <c r="AY166" s="41">
        <f>IF(SUM(AU166:AW166)&gt;=0,AVERAGE(AU166:AW166),"")</f>
        <v>3</v>
      </c>
      <c r="AZ166" s="42">
        <f>IF(SUM(AS166:AW166)&gt;=0,AVERAGE(AS166:AW166),"")</f>
        <v>2.2000000000000002</v>
      </c>
      <c r="BA166" s="42">
        <f>IF(SUM(AN166:AW166)&gt;=0,AVERAGE(AN166:AW166),"")</f>
        <v>2.6</v>
      </c>
      <c r="BB166" s="42"/>
      <c r="BC166" s="43">
        <f>(AW166-BA166)/BA166</f>
        <v>1.6923076923076923</v>
      </c>
    </row>
    <row r="167" spans="2:55" s="40" customFormat="1" ht="11.25" customHeight="1">
      <c r="B167" s="52"/>
      <c r="AY167" s="41"/>
      <c r="AZ167" s="42"/>
      <c r="BA167" s="42"/>
      <c r="BB167" s="42"/>
      <c r="BC167" s="43"/>
    </row>
    <row r="168" spans="2:55" ht="11" customHeight="1">
      <c r="B168" s="36" t="s">
        <v>382</v>
      </c>
      <c r="C168" s="1" t="s">
        <v>176</v>
      </c>
      <c r="D168" s="1" t="s">
        <v>177</v>
      </c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AN168" s="1">
        <v>0</v>
      </c>
      <c r="AO168" s="1">
        <v>7</v>
      </c>
      <c r="AP168" s="1">
        <v>6</v>
      </c>
      <c r="AQ168" s="1">
        <v>10</v>
      </c>
      <c r="AR168" s="1">
        <v>13</v>
      </c>
      <c r="AS168" s="1">
        <v>20</v>
      </c>
      <c r="AT168" s="1">
        <v>11</v>
      </c>
      <c r="AU168" s="1">
        <v>12</v>
      </c>
      <c r="AV168" s="1">
        <v>16</v>
      </c>
      <c r="AW168" s="1">
        <v>14</v>
      </c>
      <c r="AY168" s="31">
        <f>IF(SUM(AU168:AW168)&gt;=0,AVERAGE(AU168:AW168),"")</f>
        <v>14</v>
      </c>
      <c r="AZ168" s="5">
        <f>IF(SUM(AS168:AW168)&gt;=0,AVERAGE(AS168:AW168),"")</f>
        <v>14.6</v>
      </c>
      <c r="BA168" s="5">
        <f>IF(SUM(AN168:AW168)&gt;=0,AVERAGE(AN168:AW168),"")</f>
        <v>10.9</v>
      </c>
      <c r="BB168" s="5"/>
      <c r="BC168" s="32">
        <f>(AW168-BA168)/BA168</f>
        <v>0.2844036697247706</v>
      </c>
    </row>
    <row r="169" spans="2:55" ht="11" customHeight="1">
      <c r="C169" s="1" t="s">
        <v>75</v>
      </c>
      <c r="D169" s="1" t="s">
        <v>388</v>
      </c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AU169" s="1">
        <v>1</v>
      </c>
      <c r="AV169" s="1">
        <v>7</v>
      </c>
      <c r="AW169" s="1">
        <v>10</v>
      </c>
      <c r="AX169" s="25"/>
      <c r="AY169" s="31">
        <f>IF(SUM(AU169:AW169)&gt;=0,AVERAGE(AU169:AW169),"")</f>
        <v>6</v>
      </c>
      <c r="AZ169" s="3" t="s">
        <v>22</v>
      </c>
      <c r="BA169" s="3" t="s">
        <v>22</v>
      </c>
      <c r="BC169" s="33"/>
    </row>
    <row r="170" spans="2:55" ht="11" customHeight="1">
      <c r="C170" s="1" t="s">
        <v>389</v>
      </c>
      <c r="D170" s="1" t="s">
        <v>372</v>
      </c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AT170" s="1">
        <v>0</v>
      </c>
      <c r="AU170" s="1">
        <v>0</v>
      </c>
      <c r="AV170" s="1">
        <v>0</v>
      </c>
      <c r="AW170" s="1">
        <v>3</v>
      </c>
      <c r="AX170" s="25"/>
      <c r="AY170" s="31">
        <f>IF(SUM(AU170:AW170)&gt;=0,AVERAGE(AU170:AW170),"")</f>
        <v>1</v>
      </c>
      <c r="AZ170" s="3" t="s">
        <v>22</v>
      </c>
      <c r="BA170" s="3" t="s">
        <v>22</v>
      </c>
      <c r="BC170" s="33"/>
    </row>
    <row r="171" spans="2:55" ht="11" customHeight="1">
      <c r="B171" s="54"/>
      <c r="C171" s="1" t="s">
        <v>441</v>
      </c>
      <c r="D171" s="1" t="s">
        <v>79</v>
      </c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AV171" s="1">
        <v>0</v>
      </c>
      <c r="AW171" s="1">
        <v>2</v>
      </c>
      <c r="AX171" s="25"/>
      <c r="AY171" s="34" t="s">
        <v>22</v>
      </c>
      <c r="AZ171" s="3" t="s">
        <v>22</v>
      </c>
      <c r="BA171" s="3" t="s">
        <v>22</v>
      </c>
      <c r="BC171" s="33"/>
    </row>
    <row r="172" spans="2:55" ht="11.25" customHeight="1">
      <c r="C172" s="1" t="s">
        <v>180</v>
      </c>
      <c r="D172" s="1" t="s">
        <v>181</v>
      </c>
      <c r="I172" s="25" t="s">
        <v>29</v>
      </c>
      <c r="J172" s="25" t="s">
        <v>29</v>
      </c>
      <c r="K172" s="25" t="s">
        <v>29</v>
      </c>
      <c r="L172" s="25" t="s">
        <v>29</v>
      </c>
      <c r="M172" s="25" t="s">
        <v>29</v>
      </c>
      <c r="N172" s="25" t="s">
        <v>29</v>
      </c>
      <c r="O172" s="25" t="s">
        <v>29</v>
      </c>
      <c r="P172" s="25" t="s">
        <v>29</v>
      </c>
      <c r="Q172" s="25" t="s">
        <v>29</v>
      </c>
      <c r="R172" s="25" t="s">
        <v>29</v>
      </c>
      <c r="S172" s="25" t="s">
        <v>29</v>
      </c>
      <c r="T172" s="25" t="s">
        <v>29</v>
      </c>
      <c r="U172" s="25" t="s">
        <v>29</v>
      </c>
      <c r="V172" s="25" t="s">
        <v>29</v>
      </c>
      <c r="W172" s="25"/>
      <c r="X172" s="25"/>
      <c r="Y172" s="25"/>
      <c r="Z172" s="1">
        <v>35</v>
      </c>
      <c r="AA172" s="1">
        <v>91</v>
      </c>
      <c r="AB172" s="1">
        <v>92</v>
      </c>
      <c r="AC172" s="1">
        <v>140</v>
      </c>
      <c r="AD172" s="1">
        <v>101</v>
      </c>
      <c r="AE172" s="1">
        <v>110</v>
      </c>
      <c r="AF172" s="1">
        <v>51</v>
      </c>
      <c r="AG172" s="1">
        <v>57</v>
      </c>
      <c r="AH172" s="1">
        <v>41</v>
      </c>
      <c r="AI172" s="1">
        <v>52</v>
      </c>
      <c r="AJ172" s="1">
        <v>38</v>
      </c>
      <c r="AK172" s="1">
        <v>42</v>
      </c>
      <c r="AL172" s="1">
        <v>54</v>
      </c>
      <c r="AM172" s="1">
        <v>42</v>
      </c>
      <c r="AN172" s="1">
        <v>41</v>
      </c>
      <c r="AO172" s="1">
        <v>35</v>
      </c>
      <c r="AP172" s="1">
        <v>51</v>
      </c>
      <c r="AQ172" s="1">
        <v>52</v>
      </c>
      <c r="AR172" s="1">
        <v>49</v>
      </c>
      <c r="AS172" s="1">
        <v>57</v>
      </c>
      <c r="AT172" s="1">
        <v>68</v>
      </c>
      <c r="AU172" s="1">
        <v>48</v>
      </c>
      <c r="AV172" s="1">
        <v>68</v>
      </c>
      <c r="AW172" s="1">
        <v>59</v>
      </c>
      <c r="AY172" s="31">
        <f>IF(SUM(AU172:AW172)&gt;=0,AVERAGE(AU172:AW172),"")</f>
        <v>58.333333333333336</v>
      </c>
      <c r="AZ172" s="5">
        <f>IF(SUM(AS172:AW172)&gt;=0,AVERAGE(AS172:AW172),"")</f>
        <v>60</v>
      </c>
      <c r="BA172" s="5">
        <f>IF(SUM(AN172:AW172)&gt;=0,AVERAGE(AN172:AW172),"")</f>
        <v>52.8</v>
      </c>
      <c r="BB172" s="5"/>
      <c r="BC172" s="32">
        <f>(AW172-BA172)/BA172</f>
        <v>0.11742424242424249</v>
      </c>
    </row>
    <row r="173" spans="2:55" ht="11.25" customHeight="1">
      <c r="B173" s="54"/>
      <c r="D173" s="1" t="s">
        <v>79</v>
      </c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AV173" s="1">
        <v>5</v>
      </c>
      <c r="AW173" s="1">
        <v>9</v>
      </c>
      <c r="AX173" s="25"/>
      <c r="AY173" s="34" t="s">
        <v>22</v>
      </c>
      <c r="AZ173" s="3" t="s">
        <v>22</v>
      </c>
      <c r="BA173" s="3" t="s">
        <v>22</v>
      </c>
      <c r="BC173" s="33"/>
    </row>
    <row r="174" spans="2:55" ht="11" customHeight="1">
      <c r="D174" s="1" t="s">
        <v>44</v>
      </c>
      <c r="I174" s="1">
        <v>3</v>
      </c>
      <c r="J174" s="1">
        <v>3</v>
      </c>
      <c r="K174" s="1">
        <v>5</v>
      </c>
      <c r="L174" s="1">
        <v>8</v>
      </c>
      <c r="M174" s="1">
        <v>15</v>
      </c>
      <c r="N174" s="1">
        <v>9</v>
      </c>
      <c r="O174" s="1">
        <v>12</v>
      </c>
      <c r="P174" s="1">
        <v>18</v>
      </c>
      <c r="Q174" s="1">
        <v>11</v>
      </c>
      <c r="R174" s="1">
        <v>14</v>
      </c>
      <c r="S174" s="1">
        <v>12</v>
      </c>
      <c r="T174" s="1">
        <v>17</v>
      </c>
      <c r="U174" s="1">
        <v>18</v>
      </c>
      <c r="V174" s="1">
        <v>20</v>
      </c>
      <c r="W174" s="1">
        <v>19</v>
      </c>
      <c r="X174" s="1">
        <v>16</v>
      </c>
      <c r="Y174" s="1">
        <v>8</v>
      </c>
      <c r="Z174" s="1">
        <v>32</v>
      </c>
      <c r="AA174" s="1">
        <v>25</v>
      </c>
      <c r="AB174" s="1">
        <v>34</v>
      </c>
      <c r="AC174" s="1">
        <v>37</v>
      </c>
      <c r="AD174" s="1">
        <v>37</v>
      </c>
      <c r="AE174" s="1">
        <v>23</v>
      </c>
      <c r="AF174" s="1">
        <v>19</v>
      </c>
      <c r="AG174" s="1">
        <v>13</v>
      </c>
      <c r="AH174" s="1">
        <v>11</v>
      </c>
      <c r="AI174" s="1">
        <v>14</v>
      </c>
      <c r="AJ174" s="1">
        <v>17</v>
      </c>
      <c r="AK174" s="1">
        <v>5</v>
      </c>
      <c r="AL174" s="1">
        <v>10</v>
      </c>
      <c r="AM174" s="1">
        <v>11</v>
      </c>
      <c r="AN174" s="1">
        <v>10</v>
      </c>
      <c r="AO174" s="1">
        <v>10</v>
      </c>
      <c r="AP174" s="1">
        <v>14</v>
      </c>
      <c r="AQ174" s="1">
        <v>13</v>
      </c>
      <c r="AR174" s="1">
        <v>19</v>
      </c>
      <c r="AS174" s="1">
        <v>28</v>
      </c>
      <c r="AT174" s="1">
        <v>21</v>
      </c>
      <c r="AU174" s="1">
        <v>26</v>
      </c>
      <c r="AV174" s="1">
        <v>25</v>
      </c>
      <c r="AW174" s="1">
        <v>20</v>
      </c>
      <c r="AY174" s="31">
        <f>IF(SUM(AU174:AW174)&gt;=0,AVERAGE(AU174:AW174),"")</f>
        <v>23.666666666666668</v>
      </c>
      <c r="AZ174" s="5">
        <f>IF(SUM(AS174:AW174)&gt;=0,AVERAGE(AS174:AW174),"")</f>
        <v>24</v>
      </c>
      <c r="BA174" s="5">
        <f>IF(SUM(AN174:AW174)&gt;=0,AVERAGE(AN174:AW174),"")</f>
        <v>18.600000000000001</v>
      </c>
      <c r="BB174" s="5"/>
      <c r="BC174" s="32">
        <f>(AW174-BA174)/BA174</f>
        <v>7.5268817204300995E-2</v>
      </c>
    </row>
    <row r="175" spans="2:55" ht="11" customHeight="1">
      <c r="C175" s="1" t="s">
        <v>183</v>
      </c>
      <c r="D175" s="1" t="s">
        <v>61</v>
      </c>
      <c r="AQ175" s="1">
        <v>0</v>
      </c>
      <c r="AR175" s="1">
        <v>1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25"/>
      <c r="AY175" s="5">
        <f>IF(SUM(AR175:AT175)&gt;=0,AVERAGE(AR175:AT175),"")</f>
        <v>0.33333333333333331</v>
      </c>
      <c r="AZ175" s="3" t="s">
        <v>22</v>
      </c>
      <c r="BA175" s="5">
        <f t="shared" ref="BA175" si="84">IF(SUM(AJ175:AS175)&gt;=0,AVERAGE(AJ175:AS175),"")</f>
        <v>0.33333333333333331</v>
      </c>
      <c r="BB175" s="5"/>
      <c r="BC175" s="4">
        <f t="shared" ref="BC175" si="85">(AS175-BA175)/BA175</f>
        <v>-1</v>
      </c>
    </row>
    <row r="176" spans="2:55" ht="11" customHeight="1">
      <c r="AY176" s="31"/>
      <c r="AZ176" s="5"/>
      <c r="BA176" s="5"/>
      <c r="BB176" s="5"/>
      <c r="BC176" s="32"/>
    </row>
    <row r="177" spans="2:55" ht="11" customHeight="1">
      <c r="B177" s="36" t="s">
        <v>386</v>
      </c>
      <c r="C177" s="1" t="s">
        <v>178</v>
      </c>
      <c r="D177" s="1" t="s">
        <v>179</v>
      </c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AP177" s="1">
        <v>3</v>
      </c>
      <c r="AQ177" s="1">
        <v>7</v>
      </c>
      <c r="AR177" s="1">
        <v>11</v>
      </c>
      <c r="AS177" s="1">
        <v>7</v>
      </c>
      <c r="AT177" s="1">
        <v>3</v>
      </c>
      <c r="AU177" s="1">
        <v>3</v>
      </c>
      <c r="AV177" s="1">
        <v>6</v>
      </c>
      <c r="AW177" s="1">
        <v>4</v>
      </c>
      <c r="AY177" s="31">
        <f>IF(SUM(AU177:AW177)&gt;=0,AVERAGE(AU177:AW177),"")</f>
        <v>4.333333333333333</v>
      </c>
      <c r="AZ177" s="5">
        <f>IF(SUM(AS177:AW177)&gt;=0,AVERAGE(AS177:AW177),"")</f>
        <v>4.5999999999999996</v>
      </c>
      <c r="BA177" s="3" t="s">
        <v>22</v>
      </c>
      <c r="BB177" s="35"/>
    </row>
    <row r="178" spans="2:55" ht="11.25" customHeight="1">
      <c r="C178" s="1" t="s">
        <v>182</v>
      </c>
      <c r="D178" s="1" t="s">
        <v>36</v>
      </c>
      <c r="AT178" s="1">
        <v>2</v>
      </c>
      <c r="AU178" s="1">
        <v>0</v>
      </c>
      <c r="AV178" s="1">
        <v>0</v>
      </c>
      <c r="AW178" s="1">
        <v>1</v>
      </c>
      <c r="AX178" s="25"/>
      <c r="AY178" s="31">
        <f>IF(SUM(AU178:AW178)&gt;=0,AVERAGE(AU178:AW178),"")</f>
        <v>0.33333333333333331</v>
      </c>
      <c r="AZ178" s="3" t="s">
        <v>22</v>
      </c>
      <c r="BA178" s="3" t="s">
        <v>22</v>
      </c>
      <c r="BC178" s="33"/>
    </row>
    <row r="179" spans="2:55" ht="11.25" customHeight="1">
      <c r="C179" s="1" t="s">
        <v>185</v>
      </c>
      <c r="D179" s="1" t="s">
        <v>173</v>
      </c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AJ179" s="1">
        <v>2</v>
      </c>
      <c r="AK179" s="1">
        <v>0</v>
      </c>
      <c r="AL179" s="1">
        <v>0</v>
      </c>
      <c r="AM179" s="1">
        <v>2</v>
      </c>
      <c r="AN179" s="1">
        <v>0</v>
      </c>
      <c r="AO179" s="1">
        <v>0</v>
      </c>
      <c r="AP179" s="1">
        <v>0</v>
      </c>
      <c r="AQ179" s="1">
        <v>0</v>
      </c>
      <c r="AR179" s="1">
        <v>1</v>
      </c>
      <c r="AS179" s="1">
        <v>1</v>
      </c>
      <c r="AT179" s="1">
        <v>0</v>
      </c>
      <c r="AU179" s="1">
        <v>0</v>
      </c>
      <c r="AV179" s="1">
        <v>0</v>
      </c>
      <c r="AW179" s="1">
        <v>0</v>
      </c>
      <c r="AY179" s="31">
        <f>IF(SUM(AU179:AW179)&gt;=0,AVERAGE(AU179:AW179),"")</f>
        <v>0</v>
      </c>
      <c r="AZ179" s="5">
        <f>IF(SUM(AS179:AW179)&gt;=0,AVERAGE(AS179:AW179),"")</f>
        <v>0.2</v>
      </c>
      <c r="BA179" s="5">
        <f>IF(SUM(AN179:AW179)&gt;=0,AVERAGE(AN179:AW179),"")</f>
        <v>0.2</v>
      </c>
      <c r="BB179" s="5"/>
      <c r="BC179" s="32">
        <f>(AW179-BA179)/BA179</f>
        <v>-1</v>
      </c>
    </row>
    <row r="180" spans="2:55" ht="11.25" customHeight="1"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AY180" s="5"/>
      <c r="AZ180" s="5"/>
      <c r="BA180" s="5"/>
      <c r="BB180" s="5"/>
      <c r="BC180" s="4"/>
    </row>
    <row r="181" spans="2:55" ht="11.25" customHeight="1">
      <c r="B181" s="36" t="s">
        <v>387</v>
      </c>
      <c r="C181" s="1" t="s">
        <v>184</v>
      </c>
      <c r="D181" s="1" t="s">
        <v>104</v>
      </c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AJ181" s="1">
        <v>7</v>
      </c>
      <c r="AK181" s="1">
        <v>8</v>
      </c>
      <c r="AL181" s="1">
        <v>8</v>
      </c>
      <c r="AM181" s="1">
        <v>11</v>
      </c>
      <c r="AN181" s="1">
        <v>4</v>
      </c>
      <c r="AO181" s="1">
        <v>6</v>
      </c>
      <c r="AP181" s="1">
        <v>8</v>
      </c>
      <c r="AQ181" s="1">
        <v>9</v>
      </c>
      <c r="AR181" s="1">
        <v>3</v>
      </c>
      <c r="AS181" s="1">
        <v>4</v>
      </c>
      <c r="AT181" s="1">
        <v>3</v>
      </c>
      <c r="AU181" s="1">
        <v>2</v>
      </c>
      <c r="AV181" s="1">
        <v>5</v>
      </c>
      <c r="AW181" s="1">
        <v>9</v>
      </c>
      <c r="AY181" s="31">
        <f>IF(SUM(AU181:AW181)&gt;=0,AVERAGE(AU181:AW181),"")</f>
        <v>5.333333333333333</v>
      </c>
      <c r="AZ181" s="5">
        <f>IF(SUM(AS181:AW181)&gt;=0,AVERAGE(AS181:AW181),"")</f>
        <v>4.5999999999999996</v>
      </c>
      <c r="BA181" s="5">
        <f>IF(SUM(AN181:AW181)&gt;=0,AVERAGE(AN181:AW181),"")</f>
        <v>5.3</v>
      </c>
      <c r="BB181" s="5"/>
      <c r="BC181" s="32">
        <f>(AW181-BA181)/BA181</f>
        <v>0.69811320754716988</v>
      </c>
    </row>
    <row r="182" spans="2:55" ht="11.25" customHeight="1">
      <c r="B182" s="54"/>
      <c r="D182" s="1" t="s">
        <v>442</v>
      </c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AV182" s="1">
        <v>1</v>
      </c>
      <c r="AW182" s="1">
        <v>1</v>
      </c>
      <c r="AX182" s="25"/>
      <c r="AY182" s="34" t="s">
        <v>22</v>
      </c>
      <c r="AZ182" s="3" t="s">
        <v>22</v>
      </c>
      <c r="BA182" s="3" t="s">
        <v>22</v>
      </c>
      <c r="BC182" s="33"/>
    </row>
    <row r="183" spans="2:55" ht="0.5" customHeight="1">
      <c r="C183" s="1" t="s">
        <v>186</v>
      </c>
      <c r="D183" s="1" t="s">
        <v>47</v>
      </c>
      <c r="I183" s="25" t="s">
        <v>29</v>
      </c>
      <c r="J183" s="25" t="s">
        <v>29</v>
      </c>
      <c r="K183" s="25" t="s">
        <v>29</v>
      </c>
      <c r="L183" s="25" t="s">
        <v>29</v>
      </c>
      <c r="M183" s="25" t="s">
        <v>29</v>
      </c>
      <c r="N183" s="25" t="s">
        <v>29</v>
      </c>
      <c r="O183" s="25" t="s">
        <v>29</v>
      </c>
      <c r="P183" s="25" t="s">
        <v>29</v>
      </c>
      <c r="Q183" s="25" t="s">
        <v>29</v>
      </c>
      <c r="R183" s="25" t="s">
        <v>29</v>
      </c>
      <c r="S183" s="25" t="s">
        <v>29</v>
      </c>
      <c r="T183" s="25" t="s">
        <v>29</v>
      </c>
      <c r="U183" s="25" t="s">
        <v>29</v>
      </c>
      <c r="V183" s="25" t="s">
        <v>29</v>
      </c>
      <c r="W183" s="1">
        <v>0</v>
      </c>
      <c r="X183" s="1">
        <f>2+1+1</f>
        <v>4</v>
      </c>
      <c r="Y183" s="1">
        <f>1+1</f>
        <v>2</v>
      </c>
      <c r="Z183" s="1">
        <v>3</v>
      </c>
      <c r="AA183" s="1">
        <f>7+1+2+5+2</f>
        <v>17</v>
      </c>
      <c r="AB183" s="1">
        <f>11+2+9+1</f>
        <v>23</v>
      </c>
      <c r="AC183" s="1">
        <v>30</v>
      </c>
      <c r="AD183" s="1">
        <v>46</v>
      </c>
      <c r="AE183" s="1">
        <v>17</v>
      </c>
      <c r="AF183" s="1">
        <v>21</v>
      </c>
      <c r="AG183" s="1">
        <v>16</v>
      </c>
      <c r="AH183" s="1">
        <v>16</v>
      </c>
      <c r="AI183" s="1">
        <v>18</v>
      </c>
      <c r="AY183" s="5" t="e">
        <f>IF(SUM(AR183:AT183)&gt;=0,AVERAGE(AR183:AT183),"")</f>
        <v>#DIV/0!</v>
      </c>
      <c r="AZ183" s="5" t="e">
        <f>IF(SUM(AP183:AT183)&gt;=0,AVERAGE(AP183:AT183),"")</f>
        <v>#DIV/0!</v>
      </c>
      <c r="BA183" s="5" t="e">
        <f t="shared" ref="BA183" si="86">IF(SUM(AK183:AT183)&gt;=0,AVERAGE(AK183:AT183),"")</f>
        <v>#DIV/0!</v>
      </c>
      <c r="BB183" s="5"/>
      <c r="BC183" s="4" t="e">
        <f t="shared" ref="BC183" si="87">(AT183-BA183)/BA183</f>
        <v>#DIV/0!</v>
      </c>
    </row>
    <row r="184" spans="2:55" ht="0.5" customHeight="1">
      <c r="B184" s="54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AY184" s="5"/>
      <c r="AZ184" s="5"/>
      <c r="BA184" s="5"/>
      <c r="BB184" s="5"/>
      <c r="BC184" s="4"/>
    </row>
    <row r="185" spans="2:55"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4"/>
      <c r="AZ185" s="4"/>
      <c r="BA185" s="4"/>
    </row>
    <row r="186" spans="2:55" ht="11.25" customHeight="1">
      <c r="B186" s="36" t="s">
        <v>390</v>
      </c>
      <c r="D186" s="27" t="s">
        <v>159</v>
      </c>
      <c r="E186" s="1">
        <f t="shared" ref="E186:AN186" si="88">E178+E175</f>
        <v>0</v>
      </c>
      <c r="F186" s="1">
        <f t="shared" si="88"/>
        <v>0</v>
      </c>
      <c r="G186" s="1">
        <f t="shared" si="88"/>
        <v>0</v>
      </c>
      <c r="H186" s="1">
        <f t="shared" si="88"/>
        <v>0</v>
      </c>
      <c r="I186" s="1">
        <f t="shared" si="88"/>
        <v>0</v>
      </c>
      <c r="J186" s="1">
        <f t="shared" si="88"/>
        <v>0</v>
      </c>
      <c r="K186" s="1">
        <f t="shared" si="88"/>
        <v>0</v>
      </c>
      <c r="L186" s="1">
        <f t="shared" si="88"/>
        <v>0</v>
      </c>
      <c r="M186" s="1">
        <f t="shared" si="88"/>
        <v>0</v>
      </c>
      <c r="N186" s="1">
        <f t="shared" si="88"/>
        <v>0</v>
      </c>
      <c r="O186" s="1">
        <f t="shared" si="88"/>
        <v>0</v>
      </c>
      <c r="P186" s="1">
        <f t="shared" si="88"/>
        <v>0</v>
      </c>
      <c r="Q186" s="1">
        <f t="shared" si="88"/>
        <v>0</v>
      </c>
      <c r="R186" s="1">
        <f t="shared" si="88"/>
        <v>0</v>
      </c>
      <c r="S186" s="1">
        <f t="shared" si="88"/>
        <v>0</v>
      </c>
      <c r="T186" s="1">
        <f t="shared" si="88"/>
        <v>0</v>
      </c>
      <c r="U186" s="1">
        <f t="shared" si="88"/>
        <v>0</v>
      </c>
      <c r="V186" s="1">
        <f t="shared" si="88"/>
        <v>0</v>
      </c>
      <c r="W186" s="1">
        <f t="shared" si="88"/>
        <v>0</v>
      </c>
      <c r="X186" s="1">
        <f t="shared" si="88"/>
        <v>0</v>
      </c>
      <c r="Y186" s="1">
        <f t="shared" si="88"/>
        <v>0</v>
      </c>
      <c r="Z186" s="1">
        <f t="shared" si="88"/>
        <v>0</v>
      </c>
      <c r="AA186" s="1">
        <f t="shared" si="88"/>
        <v>0</v>
      </c>
      <c r="AB186" s="1">
        <f t="shared" si="88"/>
        <v>0</v>
      </c>
      <c r="AC186" s="1">
        <f t="shared" si="88"/>
        <v>0</v>
      </c>
      <c r="AD186" s="1">
        <f t="shared" si="88"/>
        <v>0</v>
      </c>
      <c r="AE186" s="1">
        <f t="shared" si="88"/>
        <v>0</v>
      </c>
      <c r="AF186" s="1">
        <f t="shared" si="88"/>
        <v>0</v>
      </c>
      <c r="AG186" s="1">
        <f t="shared" si="88"/>
        <v>0</v>
      </c>
      <c r="AH186" s="1">
        <f t="shared" si="88"/>
        <v>0</v>
      </c>
      <c r="AI186" s="1">
        <f t="shared" si="88"/>
        <v>0</v>
      </c>
      <c r="AJ186" s="1">
        <f t="shared" si="88"/>
        <v>0</v>
      </c>
      <c r="AK186" s="1">
        <f t="shared" si="88"/>
        <v>0</v>
      </c>
      <c r="AL186" s="1">
        <f t="shared" si="88"/>
        <v>0</v>
      </c>
      <c r="AM186" s="1">
        <f t="shared" si="88"/>
        <v>0</v>
      </c>
      <c r="AN186" s="1">
        <f t="shared" si="88"/>
        <v>0</v>
      </c>
      <c r="AO186" s="1">
        <f t="shared" ref="AO186:AS186" si="89">AO178+AO175</f>
        <v>0</v>
      </c>
      <c r="AP186" s="1">
        <f t="shared" si="89"/>
        <v>0</v>
      </c>
      <c r="AQ186" s="1">
        <f t="shared" si="89"/>
        <v>0</v>
      </c>
      <c r="AR186" s="1">
        <f t="shared" si="89"/>
        <v>1</v>
      </c>
      <c r="AS186" s="1">
        <f t="shared" si="89"/>
        <v>0</v>
      </c>
      <c r="AT186" s="1">
        <f>AT178+AT175</f>
        <v>2</v>
      </c>
      <c r="AU186" s="1">
        <f t="shared" ref="AU186:AW186" si="90">AU178+AU175</f>
        <v>0</v>
      </c>
      <c r="AV186" s="1">
        <f t="shared" si="90"/>
        <v>0</v>
      </c>
      <c r="AW186" s="1">
        <f t="shared" si="90"/>
        <v>1</v>
      </c>
      <c r="AX186" s="25"/>
      <c r="AY186" s="31">
        <f t="shared" ref="AY186:AY190" si="91">IF(SUM(AU186:AW186)&gt;=0,AVERAGE(AU186:AW186),"")</f>
        <v>0.33333333333333331</v>
      </c>
      <c r="AZ186" s="5">
        <f t="shared" ref="AZ186:AZ190" si="92">IF(SUM(AS186:AW186)&gt;=0,AVERAGE(AS186:AW186),"")</f>
        <v>0.6</v>
      </c>
      <c r="BA186" s="3" t="s">
        <v>22</v>
      </c>
      <c r="BB186" s="35"/>
    </row>
    <row r="187" spans="2:55" ht="11.25" customHeight="1">
      <c r="D187" s="27" t="s">
        <v>160</v>
      </c>
      <c r="E187" s="28">
        <f t="shared" ref="E187:AW187" si="93">+E152+E161+E172</f>
        <v>616</v>
      </c>
      <c r="F187" s="28">
        <f t="shared" si="93"/>
        <v>558</v>
      </c>
      <c r="G187" s="28">
        <f t="shared" si="93"/>
        <v>592</v>
      </c>
      <c r="H187" s="28">
        <f t="shared" si="93"/>
        <v>585</v>
      </c>
      <c r="I187" s="28">
        <f t="shared" si="93"/>
        <v>603</v>
      </c>
      <c r="J187" s="28">
        <f t="shared" si="93"/>
        <v>615</v>
      </c>
      <c r="K187" s="28">
        <f t="shared" si="93"/>
        <v>572</v>
      </c>
      <c r="L187" s="28">
        <f t="shared" si="93"/>
        <v>570</v>
      </c>
      <c r="M187" s="28">
        <f t="shared" si="93"/>
        <v>623</v>
      </c>
      <c r="N187" s="28">
        <f t="shared" si="93"/>
        <v>624</v>
      </c>
      <c r="O187" s="28">
        <f t="shared" si="93"/>
        <v>644</v>
      </c>
      <c r="P187" s="28">
        <f t="shared" si="93"/>
        <v>711</v>
      </c>
      <c r="Q187" s="28">
        <f t="shared" si="93"/>
        <v>750</v>
      </c>
      <c r="R187" s="28">
        <f t="shared" si="93"/>
        <v>673</v>
      </c>
      <c r="S187" s="28">
        <f t="shared" si="93"/>
        <v>664</v>
      </c>
      <c r="T187" s="28">
        <f t="shared" si="93"/>
        <v>638</v>
      </c>
      <c r="U187" s="28">
        <f t="shared" si="93"/>
        <v>671</v>
      </c>
      <c r="V187" s="28">
        <f t="shared" si="93"/>
        <v>499</v>
      </c>
      <c r="W187" s="28">
        <f t="shared" si="93"/>
        <v>445</v>
      </c>
      <c r="X187" s="28">
        <f t="shared" si="93"/>
        <v>418</v>
      </c>
      <c r="Y187" s="28">
        <f t="shared" si="93"/>
        <v>403</v>
      </c>
      <c r="Z187" s="28">
        <f t="shared" si="93"/>
        <v>450</v>
      </c>
      <c r="AA187" s="28">
        <f t="shared" si="93"/>
        <v>470</v>
      </c>
      <c r="AB187" s="28">
        <f t="shared" si="93"/>
        <v>499</v>
      </c>
      <c r="AC187" s="28">
        <f t="shared" si="93"/>
        <v>547</v>
      </c>
      <c r="AD187" s="28">
        <f t="shared" si="93"/>
        <v>566</v>
      </c>
      <c r="AE187" s="28">
        <f t="shared" si="93"/>
        <v>612</v>
      </c>
      <c r="AF187" s="28">
        <f t="shared" si="93"/>
        <v>532</v>
      </c>
      <c r="AG187" s="28">
        <f t="shared" si="93"/>
        <v>542</v>
      </c>
      <c r="AH187" s="28">
        <f t="shared" si="93"/>
        <v>579</v>
      </c>
      <c r="AI187" s="28">
        <f t="shared" si="93"/>
        <v>598</v>
      </c>
      <c r="AJ187" s="28">
        <f t="shared" si="93"/>
        <v>573</v>
      </c>
      <c r="AK187" s="28">
        <f t="shared" si="93"/>
        <v>545</v>
      </c>
      <c r="AL187" s="28">
        <f t="shared" si="93"/>
        <v>579</v>
      </c>
      <c r="AM187" s="28">
        <f t="shared" si="93"/>
        <v>505</v>
      </c>
      <c r="AN187" s="28">
        <f t="shared" si="93"/>
        <v>440</v>
      </c>
      <c r="AO187" s="28">
        <f t="shared" si="93"/>
        <v>507</v>
      </c>
      <c r="AP187" s="28">
        <f t="shared" si="93"/>
        <v>516</v>
      </c>
      <c r="AQ187" s="28">
        <f t="shared" si="93"/>
        <v>524</v>
      </c>
      <c r="AR187" s="28">
        <f t="shared" si="93"/>
        <v>523</v>
      </c>
      <c r="AS187" s="28">
        <f t="shared" si="93"/>
        <v>534</v>
      </c>
      <c r="AT187" s="28">
        <f t="shared" si="93"/>
        <v>533</v>
      </c>
      <c r="AU187" s="28">
        <f t="shared" si="93"/>
        <v>528</v>
      </c>
      <c r="AV187" s="28">
        <f t="shared" si="93"/>
        <v>505</v>
      </c>
      <c r="AW187" s="28">
        <f t="shared" si="93"/>
        <v>482</v>
      </c>
      <c r="AX187" s="28"/>
      <c r="AY187" s="31">
        <f t="shared" si="91"/>
        <v>505</v>
      </c>
      <c r="AZ187" s="5">
        <f t="shared" si="92"/>
        <v>516.4</v>
      </c>
      <c r="BA187" s="5">
        <f t="shared" ref="BA187:BA190" si="94">IF(SUM(AN187:AW187)&gt;=0,AVERAGE(AN187:AW187),"")</f>
        <v>509.2</v>
      </c>
      <c r="BB187" s="5"/>
      <c r="BC187" s="32">
        <f t="shared" ref="BC187:BC190" si="95">(AW187-BA187)/BA187</f>
        <v>-5.3417124901806737E-2</v>
      </c>
    </row>
    <row r="188" spans="2:55" ht="11.25" customHeight="1">
      <c r="D188" s="27" t="s">
        <v>161</v>
      </c>
      <c r="E188" s="28">
        <f t="shared" ref="E188:AO188" si="96">SUM(E181,E179,E177,E170,E168,E166,E162,E158,E157,E156,E155,E154,E171)</f>
        <v>0</v>
      </c>
      <c r="F188" s="28">
        <f t="shared" si="96"/>
        <v>0</v>
      </c>
      <c r="G188" s="28">
        <f t="shared" si="96"/>
        <v>0</v>
      </c>
      <c r="H188" s="28">
        <f t="shared" si="96"/>
        <v>0</v>
      </c>
      <c r="I188" s="28">
        <f t="shared" si="96"/>
        <v>0</v>
      </c>
      <c r="J188" s="28">
        <f t="shared" si="96"/>
        <v>0</v>
      </c>
      <c r="K188" s="28">
        <f t="shared" si="96"/>
        <v>0</v>
      </c>
      <c r="L188" s="28">
        <f t="shared" si="96"/>
        <v>0</v>
      </c>
      <c r="M188" s="28">
        <f t="shared" si="96"/>
        <v>0</v>
      </c>
      <c r="N188" s="28">
        <f t="shared" si="96"/>
        <v>0</v>
      </c>
      <c r="O188" s="28">
        <f t="shared" si="96"/>
        <v>0</v>
      </c>
      <c r="P188" s="28">
        <f t="shared" si="96"/>
        <v>0</v>
      </c>
      <c r="Q188" s="28">
        <f t="shared" si="96"/>
        <v>0</v>
      </c>
      <c r="R188" s="28">
        <f t="shared" si="96"/>
        <v>0</v>
      </c>
      <c r="S188" s="28">
        <f t="shared" si="96"/>
        <v>0</v>
      </c>
      <c r="T188" s="28">
        <f t="shared" si="96"/>
        <v>0</v>
      </c>
      <c r="U188" s="28">
        <f t="shared" si="96"/>
        <v>0</v>
      </c>
      <c r="V188" s="28">
        <f t="shared" si="96"/>
        <v>0</v>
      </c>
      <c r="W188" s="28">
        <f t="shared" si="96"/>
        <v>0</v>
      </c>
      <c r="X188" s="28">
        <f t="shared" si="96"/>
        <v>0</v>
      </c>
      <c r="Y188" s="28">
        <f t="shared" si="96"/>
        <v>0</v>
      </c>
      <c r="Z188" s="28">
        <f t="shared" si="96"/>
        <v>0</v>
      </c>
      <c r="AA188" s="28">
        <f t="shared" si="96"/>
        <v>0</v>
      </c>
      <c r="AB188" s="28">
        <f t="shared" si="96"/>
        <v>0</v>
      </c>
      <c r="AC188" s="28">
        <f t="shared" si="96"/>
        <v>0</v>
      </c>
      <c r="AD188" s="28">
        <f t="shared" si="96"/>
        <v>0</v>
      </c>
      <c r="AE188" s="28">
        <f t="shared" si="96"/>
        <v>0</v>
      </c>
      <c r="AF188" s="28">
        <f t="shared" si="96"/>
        <v>0</v>
      </c>
      <c r="AG188" s="28">
        <f t="shared" si="96"/>
        <v>0</v>
      </c>
      <c r="AH188" s="28">
        <f t="shared" si="96"/>
        <v>0</v>
      </c>
      <c r="AI188" s="28">
        <f t="shared" si="96"/>
        <v>0</v>
      </c>
      <c r="AJ188" s="28">
        <f t="shared" si="96"/>
        <v>12</v>
      </c>
      <c r="AK188" s="28">
        <f t="shared" si="96"/>
        <v>11</v>
      </c>
      <c r="AL188" s="28">
        <f t="shared" si="96"/>
        <v>13</v>
      </c>
      <c r="AM188" s="28">
        <f t="shared" si="96"/>
        <v>19</v>
      </c>
      <c r="AN188" s="28">
        <f t="shared" si="96"/>
        <v>7</v>
      </c>
      <c r="AO188" s="28">
        <f t="shared" si="96"/>
        <v>16</v>
      </c>
      <c r="AP188" s="28">
        <f t="shared" ref="AP188:AS188" si="97">SUM(AP181,AP179,AP177,AP170,AP168,AP166,AP162,AP158,AP157,AP156,AP155,AP154,AP171)</f>
        <v>20</v>
      </c>
      <c r="AQ188" s="28">
        <f t="shared" si="97"/>
        <v>29</v>
      </c>
      <c r="AR188" s="28">
        <f t="shared" si="97"/>
        <v>35</v>
      </c>
      <c r="AS188" s="28">
        <f t="shared" si="97"/>
        <v>38</v>
      </c>
      <c r="AT188" s="28">
        <f>SUM(AT181,AT179,AT177,AT170,AT168,AT166,AT162,AT158,AT157,AT156,AT155,AT154,AT171)</f>
        <v>24</v>
      </c>
      <c r="AU188" s="28">
        <f>SUM(AU181,AU179,AU177,AU170,AU168,AU166,AU162,AU158,AU157,AU156,AU155,AU154,AU171)</f>
        <v>28</v>
      </c>
      <c r="AV188" s="28">
        <f>SUM(AV181,AV179,AV177,AV170,AV168,AV166,AV162,AV158,AV157,AV156,AV155,AV154,AV171,AV173)</f>
        <v>40</v>
      </c>
      <c r="AW188" s="28">
        <f>SUM(AW181,AW179,AW177,AW170,AW168,AW166,AW162,AW158,AW157,AW156,AW155,AW154,AW171,AW173)</f>
        <v>62</v>
      </c>
      <c r="AX188" s="28"/>
      <c r="AY188" s="31">
        <f t="shared" si="91"/>
        <v>43.333333333333336</v>
      </c>
      <c r="AZ188" s="5">
        <f t="shared" si="92"/>
        <v>38.4</v>
      </c>
      <c r="BA188" s="5">
        <f t="shared" si="94"/>
        <v>29.9</v>
      </c>
      <c r="BB188" s="5"/>
      <c r="BC188" s="32">
        <f t="shared" si="95"/>
        <v>1.0735785953177259</v>
      </c>
    </row>
    <row r="189" spans="2:55" ht="11.25" customHeight="1">
      <c r="D189" s="27" t="s">
        <v>162</v>
      </c>
      <c r="E189" s="28">
        <f t="shared" ref="E189:AO189" si="98">E153+E163+E174+E169+E182</f>
        <v>46</v>
      </c>
      <c r="F189" s="28">
        <f t="shared" si="98"/>
        <v>76</v>
      </c>
      <c r="G189" s="28">
        <f t="shared" si="98"/>
        <v>73</v>
      </c>
      <c r="H189" s="28">
        <f t="shared" si="98"/>
        <v>73</v>
      </c>
      <c r="I189" s="28">
        <f t="shared" si="98"/>
        <v>74</v>
      </c>
      <c r="J189" s="28">
        <f t="shared" si="98"/>
        <v>96</v>
      </c>
      <c r="K189" s="28">
        <f t="shared" si="98"/>
        <v>67</v>
      </c>
      <c r="L189" s="28">
        <f t="shared" si="98"/>
        <v>89</v>
      </c>
      <c r="M189" s="28">
        <f t="shared" si="98"/>
        <v>94</v>
      </c>
      <c r="N189" s="28">
        <f t="shared" si="98"/>
        <v>80</v>
      </c>
      <c r="O189" s="28">
        <f t="shared" si="98"/>
        <v>83</v>
      </c>
      <c r="P189" s="28">
        <f t="shared" si="98"/>
        <v>107</v>
      </c>
      <c r="Q189" s="28">
        <f t="shared" si="98"/>
        <v>93</v>
      </c>
      <c r="R189" s="28">
        <f t="shared" si="98"/>
        <v>102</v>
      </c>
      <c r="S189" s="28">
        <f t="shared" si="98"/>
        <v>97</v>
      </c>
      <c r="T189" s="28">
        <f t="shared" si="98"/>
        <v>111</v>
      </c>
      <c r="U189" s="28">
        <f t="shared" si="98"/>
        <v>111</v>
      </c>
      <c r="V189" s="28">
        <f t="shared" si="98"/>
        <v>106</v>
      </c>
      <c r="W189" s="28">
        <f t="shared" si="98"/>
        <v>89</v>
      </c>
      <c r="X189" s="28">
        <f t="shared" si="98"/>
        <v>88</v>
      </c>
      <c r="Y189" s="28">
        <f t="shared" si="98"/>
        <v>68</v>
      </c>
      <c r="Z189" s="28">
        <f t="shared" si="98"/>
        <v>92</v>
      </c>
      <c r="AA189" s="28">
        <f t="shared" si="98"/>
        <v>91</v>
      </c>
      <c r="AB189" s="28">
        <f t="shared" si="98"/>
        <v>100</v>
      </c>
      <c r="AC189" s="28">
        <f t="shared" si="98"/>
        <v>127</v>
      </c>
      <c r="AD189" s="28">
        <f t="shared" si="98"/>
        <v>135</v>
      </c>
      <c r="AE189" s="28">
        <f t="shared" si="98"/>
        <v>117</v>
      </c>
      <c r="AF189" s="28">
        <f t="shared" si="98"/>
        <v>145</v>
      </c>
      <c r="AG189" s="28">
        <f t="shared" si="98"/>
        <v>133</v>
      </c>
      <c r="AH189" s="28">
        <f t="shared" si="98"/>
        <v>163</v>
      </c>
      <c r="AI189" s="28">
        <f t="shared" si="98"/>
        <v>163</v>
      </c>
      <c r="AJ189" s="28">
        <f t="shared" si="98"/>
        <v>210</v>
      </c>
      <c r="AK189" s="28">
        <f t="shared" si="98"/>
        <v>162</v>
      </c>
      <c r="AL189" s="28">
        <f t="shared" si="98"/>
        <v>171</v>
      </c>
      <c r="AM189" s="28">
        <f>AM153+AM163+AM174+AM169+AM182</f>
        <v>204</v>
      </c>
      <c r="AN189" s="28">
        <f t="shared" si="98"/>
        <v>189</v>
      </c>
      <c r="AO189" s="28">
        <f t="shared" si="98"/>
        <v>185</v>
      </c>
      <c r="AP189" s="28">
        <f t="shared" ref="AP189:AS189" si="99">AP153+AP163+AP174+AP169+AP182</f>
        <v>169</v>
      </c>
      <c r="AQ189" s="28">
        <f t="shared" si="99"/>
        <v>174</v>
      </c>
      <c r="AR189" s="28">
        <f t="shared" si="99"/>
        <v>226</v>
      </c>
      <c r="AS189" s="28">
        <f t="shared" si="99"/>
        <v>206</v>
      </c>
      <c r="AT189" s="28">
        <f>AT153+AT163+AT174+AT169+AT182</f>
        <v>218</v>
      </c>
      <c r="AU189" s="28">
        <f t="shared" ref="AU189:AW189" si="100">AU153+AU163+AU174+AU169+AU182</f>
        <v>171</v>
      </c>
      <c r="AV189" s="28">
        <f t="shared" si="100"/>
        <v>202</v>
      </c>
      <c r="AW189" s="28">
        <f t="shared" si="100"/>
        <v>173</v>
      </c>
      <c r="AX189" s="28"/>
      <c r="AY189" s="31">
        <f t="shared" si="91"/>
        <v>182</v>
      </c>
      <c r="AZ189" s="5">
        <f t="shared" si="92"/>
        <v>194</v>
      </c>
      <c r="BA189" s="5">
        <f t="shared" si="94"/>
        <v>191.3</v>
      </c>
      <c r="BB189" s="5"/>
      <c r="BC189" s="32">
        <f t="shared" si="95"/>
        <v>-9.5661265028750705E-2</v>
      </c>
    </row>
    <row r="190" spans="2:55" ht="11.25" customHeight="1">
      <c r="D190" s="27" t="s">
        <v>163</v>
      </c>
      <c r="E190" s="28">
        <f t="shared" ref="E190:AO190" si="101">SUM(E160,E164)</f>
        <v>0</v>
      </c>
      <c r="F190" s="28">
        <f t="shared" si="101"/>
        <v>0</v>
      </c>
      <c r="G190" s="28">
        <f t="shared" si="101"/>
        <v>0</v>
      </c>
      <c r="H190" s="28">
        <f t="shared" si="101"/>
        <v>0</v>
      </c>
      <c r="I190" s="28">
        <f t="shared" si="101"/>
        <v>0</v>
      </c>
      <c r="J190" s="28">
        <f t="shared" si="101"/>
        <v>0</v>
      </c>
      <c r="K190" s="28">
        <f t="shared" si="101"/>
        <v>0</v>
      </c>
      <c r="L190" s="28">
        <f t="shared" si="101"/>
        <v>0</v>
      </c>
      <c r="M190" s="28">
        <f t="shared" si="101"/>
        <v>0</v>
      </c>
      <c r="N190" s="28">
        <f t="shared" si="101"/>
        <v>0</v>
      </c>
      <c r="O190" s="28">
        <f t="shared" si="101"/>
        <v>0</v>
      </c>
      <c r="P190" s="28">
        <f t="shared" si="101"/>
        <v>0</v>
      </c>
      <c r="Q190" s="28">
        <f t="shared" si="101"/>
        <v>0</v>
      </c>
      <c r="R190" s="28">
        <f t="shared" si="101"/>
        <v>0</v>
      </c>
      <c r="S190" s="28">
        <f t="shared" si="101"/>
        <v>0</v>
      </c>
      <c r="T190" s="28">
        <f t="shared" si="101"/>
        <v>0</v>
      </c>
      <c r="U190" s="28">
        <f t="shared" si="101"/>
        <v>0</v>
      </c>
      <c r="V190" s="28">
        <f t="shared" si="101"/>
        <v>0</v>
      </c>
      <c r="W190" s="28">
        <f t="shared" si="101"/>
        <v>0</v>
      </c>
      <c r="X190" s="28">
        <f t="shared" si="101"/>
        <v>0</v>
      </c>
      <c r="Y190" s="28">
        <f t="shared" si="101"/>
        <v>0</v>
      </c>
      <c r="Z190" s="28">
        <f t="shared" si="101"/>
        <v>0</v>
      </c>
      <c r="AA190" s="28">
        <f t="shared" si="101"/>
        <v>0</v>
      </c>
      <c r="AB190" s="28">
        <f t="shared" si="101"/>
        <v>0</v>
      </c>
      <c r="AC190" s="28">
        <f t="shared" si="101"/>
        <v>0</v>
      </c>
      <c r="AD190" s="28">
        <f t="shared" si="101"/>
        <v>0</v>
      </c>
      <c r="AE190" s="28">
        <f t="shared" si="101"/>
        <v>0</v>
      </c>
      <c r="AF190" s="28">
        <f t="shared" si="101"/>
        <v>0</v>
      </c>
      <c r="AG190" s="28">
        <f t="shared" si="101"/>
        <v>0</v>
      </c>
      <c r="AH190" s="28">
        <f t="shared" si="101"/>
        <v>1</v>
      </c>
      <c r="AI190" s="28">
        <f t="shared" si="101"/>
        <v>1</v>
      </c>
      <c r="AJ190" s="28">
        <f t="shared" si="101"/>
        <v>0</v>
      </c>
      <c r="AK190" s="28">
        <f t="shared" si="101"/>
        <v>2</v>
      </c>
      <c r="AL190" s="28">
        <f t="shared" si="101"/>
        <v>1</v>
      </c>
      <c r="AM190" s="28">
        <f t="shared" si="101"/>
        <v>2</v>
      </c>
      <c r="AN190" s="28">
        <f t="shared" si="101"/>
        <v>0</v>
      </c>
      <c r="AO190" s="28">
        <f t="shared" si="101"/>
        <v>0</v>
      </c>
      <c r="AP190" s="28">
        <f t="shared" ref="AP190:AS190" si="102">SUM(AP160,AP164)</f>
        <v>8</v>
      </c>
      <c r="AQ190" s="28">
        <f t="shared" si="102"/>
        <v>3</v>
      </c>
      <c r="AR190" s="28">
        <f t="shared" si="102"/>
        <v>1</v>
      </c>
      <c r="AS190" s="28">
        <f t="shared" si="102"/>
        <v>1</v>
      </c>
      <c r="AT190" s="28">
        <f>SUM(AT160,AT164)</f>
        <v>3</v>
      </c>
      <c r="AU190" s="28">
        <f t="shared" ref="AU190:AW190" si="103">SUM(AU160,AU164)</f>
        <v>3</v>
      </c>
      <c r="AV190" s="28">
        <f t="shared" si="103"/>
        <v>12</v>
      </c>
      <c r="AW190" s="28">
        <f t="shared" si="103"/>
        <v>14</v>
      </c>
      <c r="AX190" s="28"/>
      <c r="AY190" s="31">
        <f t="shared" si="91"/>
        <v>9.6666666666666661</v>
      </c>
      <c r="AZ190" s="5">
        <f t="shared" si="92"/>
        <v>6.6</v>
      </c>
      <c r="BA190" s="5">
        <f t="shared" si="94"/>
        <v>4.5</v>
      </c>
      <c r="BB190" s="5"/>
      <c r="BC190" s="32">
        <f t="shared" si="95"/>
        <v>2.1111111111111112</v>
      </c>
    </row>
    <row r="191" spans="2:55" ht="11.25" customHeight="1"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32"/>
      <c r="AZ191" s="4"/>
      <c r="BA191" s="4"/>
      <c r="BC191" s="33"/>
    </row>
    <row r="192" spans="2:55" ht="11.25" customHeight="1">
      <c r="B192" s="36" t="s">
        <v>188</v>
      </c>
      <c r="D192" s="1" t="s">
        <v>165</v>
      </c>
      <c r="E192" s="28">
        <f>SUM(E186:E190)</f>
        <v>662</v>
      </c>
      <c r="F192" s="28">
        <f t="shared" ref="F192:AS192" si="104">SUM(F186:F190)</f>
        <v>634</v>
      </c>
      <c r="G192" s="28">
        <f t="shared" si="104"/>
        <v>665</v>
      </c>
      <c r="H192" s="28">
        <f t="shared" si="104"/>
        <v>658</v>
      </c>
      <c r="I192" s="28">
        <f t="shared" si="104"/>
        <v>677</v>
      </c>
      <c r="J192" s="28">
        <f t="shared" si="104"/>
        <v>711</v>
      </c>
      <c r="K192" s="28">
        <f t="shared" si="104"/>
        <v>639</v>
      </c>
      <c r="L192" s="28">
        <f t="shared" si="104"/>
        <v>659</v>
      </c>
      <c r="M192" s="28">
        <f t="shared" si="104"/>
        <v>717</v>
      </c>
      <c r="N192" s="28">
        <f t="shared" si="104"/>
        <v>704</v>
      </c>
      <c r="O192" s="28">
        <f t="shared" si="104"/>
        <v>727</v>
      </c>
      <c r="P192" s="28">
        <f t="shared" si="104"/>
        <v>818</v>
      </c>
      <c r="Q192" s="28">
        <f t="shared" si="104"/>
        <v>843</v>
      </c>
      <c r="R192" s="28">
        <f t="shared" si="104"/>
        <v>775</v>
      </c>
      <c r="S192" s="28">
        <f t="shared" si="104"/>
        <v>761</v>
      </c>
      <c r="T192" s="28">
        <f t="shared" si="104"/>
        <v>749</v>
      </c>
      <c r="U192" s="28">
        <f t="shared" si="104"/>
        <v>782</v>
      </c>
      <c r="V192" s="28">
        <f t="shared" si="104"/>
        <v>605</v>
      </c>
      <c r="W192" s="28">
        <f t="shared" si="104"/>
        <v>534</v>
      </c>
      <c r="X192" s="28">
        <f t="shared" si="104"/>
        <v>506</v>
      </c>
      <c r="Y192" s="28">
        <f t="shared" si="104"/>
        <v>471</v>
      </c>
      <c r="Z192" s="28">
        <f t="shared" si="104"/>
        <v>542</v>
      </c>
      <c r="AA192" s="28">
        <f t="shared" si="104"/>
        <v>561</v>
      </c>
      <c r="AB192" s="28">
        <f t="shared" si="104"/>
        <v>599</v>
      </c>
      <c r="AC192" s="28">
        <f t="shared" si="104"/>
        <v>674</v>
      </c>
      <c r="AD192" s="28">
        <f t="shared" si="104"/>
        <v>701</v>
      </c>
      <c r="AE192" s="28">
        <f t="shared" si="104"/>
        <v>729</v>
      </c>
      <c r="AF192" s="28">
        <f t="shared" si="104"/>
        <v>677</v>
      </c>
      <c r="AG192" s="28">
        <f t="shared" si="104"/>
        <v>675</v>
      </c>
      <c r="AH192" s="28">
        <f t="shared" si="104"/>
        <v>743</v>
      </c>
      <c r="AI192" s="28">
        <f t="shared" si="104"/>
        <v>762</v>
      </c>
      <c r="AJ192" s="28">
        <f t="shared" si="104"/>
        <v>795</v>
      </c>
      <c r="AK192" s="28">
        <f t="shared" si="104"/>
        <v>720</v>
      </c>
      <c r="AL192" s="28">
        <f t="shared" si="104"/>
        <v>764</v>
      </c>
      <c r="AM192" s="28">
        <f t="shared" si="104"/>
        <v>730</v>
      </c>
      <c r="AN192" s="28">
        <f t="shared" si="104"/>
        <v>636</v>
      </c>
      <c r="AO192" s="28">
        <f t="shared" si="104"/>
        <v>708</v>
      </c>
      <c r="AP192" s="28">
        <f t="shared" si="104"/>
        <v>713</v>
      </c>
      <c r="AQ192" s="28">
        <f t="shared" si="104"/>
        <v>730</v>
      </c>
      <c r="AR192" s="28">
        <f t="shared" si="104"/>
        <v>786</v>
      </c>
      <c r="AS192" s="28">
        <f t="shared" si="104"/>
        <v>779</v>
      </c>
      <c r="AT192" s="28">
        <f>SUM(AT186:AT190)</f>
        <v>780</v>
      </c>
      <c r="AU192" s="28">
        <f t="shared" ref="AU192:AW192" si="105">SUM(AU186:AU190)</f>
        <v>730</v>
      </c>
      <c r="AV192" s="28">
        <f t="shared" si="105"/>
        <v>759</v>
      </c>
      <c r="AW192" s="28">
        <f t="shared" si="105"/>
        <v>732</v>
      </c>
      <c r="AX192" s="28"/>
      <c r="AY192" s="31">
        <f>IF(SUM(AU192:AW192)&gt;=0,AVERAGE(AU192:AW192),"")</f>
        <v>740.33333333333337</v>
      </c>
      <c r="AZ192" s="5">
        <f>IF(SUM(AS192:AW192)&gt;=0,AVERAGE(AS192:AW192),"")</f>
        <v>756</v>
      </c>
      <c r="BA192" s="5">
        <f>IF(SUM(AN192:AW192)&gt;=0,AVERAGE(AN192:AW192),"")</f>
        <v>735.3</v>
      </c>
      <c r="BB192" s="5"/>
      <c r="BC192" s="32">
        <f>(AW192-BA192)/BA192</f>
        <v>-4.487964096287168E-3</v>
      </c>
    </row>
    <row r="193" spans="2:56" ht="11.25" customHeight="1">
      <c r="AY193" s="3"/>
      <c r="AZ193" s="3"/>
      <c r="BA193" s="3"/>
    </row>
    <row r="194" spans="2:56" ht="11.25" customHeight="1">
      <c r="I194" s="1" t="str">
        <f t="shared" ref="I194:T194" si="106">IF(I192=SUM(I187:I189),"","ERR")</f>
        <v/>
      </c>
      <c r="J194" s="1" t="str">
        <f t="shared" si="106"/>
        <v/>
      </c>
      <c r="K194" s="1" t="str">
        <f t="shared" si="106"/>
        <v/>
      </c>
      <c r="L194" s="1" t="str">
        <f t="shared" si="106"/>
        <v/>
      </c>
      <c r="M194" s="1" t="str">
        <f t="shared" si="106"/>
        <v/>
      </c>
      <c r="N194" s="1" t="str">
        <f t="shared" si="106"/>
        <v/>
      </c>
      <c r="O194" s="1" t="str">
        <f t="shared" si="106"/>
        <v/>
      </c>
      <c r="P194" s="1" t="str">
        <f t="shared" si="106"/>
        <v/>
      </c>
      <c r="Q194" s="1" t="str">
        <f t="shared" si="106"/>
        <v/>
      </c>
      <c r="R194" s="1" t="str">
        <f t="shared" si="106"/>
        <v/>
      </c>
      <c r="S194" s="1" t="str">
        <f t="shared" si="106"/>
        <v/>
      </c>
      <c r="T194" s="1" t="str">
        <f t="shared" si="106"/>
        <v/>
      </c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4"/>
      <c r="AZ194" s="4"/>
      <c r="BA194" s="4"/>
    </row>
    <row r="195" spans="2:56" ht="21.75" customHeight="1">
      <c r="B195" s="50" t="s">
        <v>189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20"/>
      <c r="BC195" s="20"/>
      <c r="BD195" s="20"/>
    </row>
    <row r="196" spans="2:56" ht="11.25" customHeight="1">
      <c r="B196" s="51"/>
      <c r="C196" s="9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4" t="str">
        <f>IF(AA196&gt;0,IF(AA196&gt;9,(AA196-Z196)/Z196,"&lt;10 cases"),"")</f>
        <v/>
      </c>
      <c r="AZ196" s="4" t="str">
        <f>IF(AA196&gt;0,IF(AA196&gt;9,(AA196-(SUM(V196:Z196)/5))/AA196,"&lt;10 cases"),"")</f>
        <v/>
      </c>
      <c r="BA196" s="4" t="str">
        <f>IF(AA196&gt;0,IF(AA196&gt;9,(AA196-SUM(Q196:Z196)/10)/AA196,"&lt;10 cases"),"")</f>
        <v/>
      </c>
    </row>
    <row r="197" spans="2:56" ht="11.25" customHeight="1">
      <c r="B197" s="36" t="s">
        <v>190</v>
      </c>
      <c r="C197" s="1" t="s">
        <v>191</v>
      </c>
      <c r="D197" s="1" t="s">
        <v>192</v>
      </c>
      <c r="E197" s="1">
        <v>0</v>
      </c>
      <c r="F197" s="1">
        <v>3</v>
      </c>
      <c r="G197" s="1">
        <v>1</v>
      </c>
      <c r="H197" s="1">
        <v>3</v>
      </c>
      <c r="I197" s="1">
        <v>2</v>
      </c>
      <c r="J197" s="1">
        <v>4</v>
      </c>
      <c r="K197" s="1">
        <v>4</v>
      </c>
      <c r="L197" s="1">
        <v>2</v>
      </c>
      <c r="M197" s="1">
        <v>5</v>
      </c>
      <c r="N197" s="1">
        <v>5</v>
      </c>
      <c r="O197" s="1">
        <v>6</v>
      </c>
      <c r="P197" s="1">
        <v>8</v>
      </c>
      <c r="Q197" s="1">
        <v>9</v>
      </c>
      <c r="R197" s="1">
        <v>14</v>
      </c>
      <c r="S197" s="1">
        <v>7</v>
      </c>
      <c r="T197" s="1">
        <v>5</v>
      </c>
      <c r="U197" s="1">
        <v>8</v>
      </c>
      <c r="V197" s="1">
        <v>6</v>
      </c>
      <c r="W197" s="1">
        <v>10</v>
      </c>
      <c r="X197" s="1">
        <v>7</v>
      </c>
      <c r="Y197" s="1">
        <v>9</v>
      </c>
      <c r="Z197" s="1">
        <v>6</v>
      </c>
      <c r="AA197" s="1">
        <v>6</v>
      </c>
      <c r="AB197" s="1">
        <v>8</v>
      </c>
      <c r="AC197" s="1">
        <v>13</v>
      </c>
      <c r="AD197" s="1">
        <v>20</v>
      </c>
      <c r="AE197" s="1">
        <v>15</v>
      </c>
      <c r="AF197" s="1">
        <v>21</v>
      </c>
      <c r="AG197" s="1">
        <v>24</v>
      </c>
      <c r="AH197" s="1">
        <v>18</v>
      </c>
      <c r="AI197" s="1">
        <v>27</v>
      </c>
      <c r="AJ197" s="1">
        <v>27</v>
      </c>
      <c r="AK197" s="1">
        <v>24</v>
      </c>
      <c r="AL197" s="1">
        <v>21</v>
      </c>
      <c r="AM197" s="1">
        <v>33</v>
      </c>
      <c r="AN197" s="1">
        <v>24</v>
      </c>
      <c r="AO197" s="1">
        <v>21</v>
      </c>
      <c r="AP197" s="1">
        <v>34</v>
      </c>
      <c r="AQ197" s="1">
        <v>38</v>
      </c>
      <c r="AR197" s="1">
        <v>62</v>
      </c>
      <c r="AS197" s="1">
        <v>42</v>
      </c>
      <c r="AT197" s="1">
        <v>37</v>
      </c>
      <c r="AU197" s="1">
        <v>61</v>
      </c>
      <c r="AV197" s="1">
        <v>45</v>
      </c>
      <c r="AW197" s="1">
        <v>54</v>
      </c>
      <c r="AY197" s="31">
        <f>IF(SUM(AU197:AW197)&gt;=0,AVERAGE(AU197:AW197),"")</f>
        <v>53.333333333333336</v>
      </c>
      <c r="AZ197" s="5">
        <f>IF(SUM(AS197:AW197)&gt;=0,AVERAGE(AS197:AW197),"")</f>
        <v>47.8</v>
      </c>
      <c r="BA197" s="5">
        <f>IF(SUM(AN197:AW197)&gt;=0,AVERAGE(AN197:AW197),"")</f>
        <v>41.8</v>
      </c>
      <c r="BB197" s="5"/>
      <c r="BC197" s="32">
        <f>(AW197-BA197)/BA197</f>
        <v>0.29186602870813405</v>
      </c>
    </row>
    <row r="198" spans="2:56" ht="11.25" customHeight="1"/>
    <row r="199" spans="2:56" ht="1" customHeight="1">
      <c r="C199" s="1" t="s">
        <v>209</v>
      </c>
      <c r="D199" s="1" t="s">
        <v>210</v>
      </c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1">
        <v>0</v>
      </c>
      <c r="AF199" s="1">
        <v>0</v>
      </c>
      <c r="AG199" s="1">
        <v>2</v>
      </c>
      <c r="AH199" s="1">
        <v>7</v>
      </c>
      <c r="AY199" s="5" t="e">
        <f t="shared" ref="AY199" si="107">IF(SUM(AR199:AT199)&gt;=0,AVERAGE(AR199:AT199),"")</f>
        <v>#DIV/0!</v>
      </c>
      <c r="AZ199" s="5" t="e">
        <f t="shared" ref="AZ199" si="108">IF(SUM(AP199:AT199)&gt;=0,AVERAGE(AP199:AT199),"")</f>
        <v>#DIV/0!</v>
      </c>
      <c r="BA199" s="5" t="e">
        <f t="shared" ref="BA199" si="109">IF(SUM(AK199:AT199)&gt;=0,AVERAGE(AK199:AT199),"")</f>
        <v>#DIV/0!</v>
      </c>
      <c r="BB199" s="5"/>
      <c r="BC199" s="4" t="e">
        <f t="shared" ref="BC199" si="110">(AT199-BA199)/BA199</f>
        <v>#DIV/0!</v>
      </c>
    </row>
    <row r="200" spans="2:56" ht="11.25" customHeight="1">
      <c r="B200" s="36" t="s">
        <v>391</v>
      </c>
      <c r="C200" s="1" t="s">
        <v>211</v>
      </c>
      <c r="D200" s="1" t="s">
        <v>194</v>
      </c>
      <c r="AQ200" s="1">
        <v>2</v>
      </c>
      <c r="AR200" s="1">
        <v>3</v>
      </c>
      <c r="AS200" s="1">
        <v>11</v>
      </c>
      <c r="AT200" s="1">
        <v>11</v>
      </c>
      <c r="AU200" s="1">
        <v>5</v>
      </c>
      <c r="AV200" s="1">
        <v>9</v>
      </c>
      <c r="AW200" s="1">
        <v>0</v>
      </c>
      <c r="AX200" s="25"/>
      <c r="AY200" s="31">
        <f t="shared" ref="AY200:AY202" si="111">IF(SUM(AU200:AW200)&gt;=0,AVERAGE(AU200:AW200),"")</f>
        <v>4.666666666666667</v>
      </c>
      <c r="AZ200" s="5">
        <f t="shared" ref="AZ200:AZ202" si="112">IF(SUM(AS200:AW200)&gt;=0,AVERAGE(AS200:AW200),"")</f>
        <v>7.2</v>
      </c>
      <c r="BA200" s="3" t="s">
        <v>22</v>
      </c>
      <c r="BB200" s="35"/>
    </row>
    <row r="201" spans="2:56" ht="11.25" customHeight="1">
      <c r="C201" s="1" t="s">
        <v>212</v>
      </c>
      <c r="D201" s="1" t="s">
        <v>213</v>
      </c>
      <c r="AK201" s="1">
        <v>1</v>
      </c>
      <c r="AL201" s="1">
        <v>3</v>
      </c>
      <c r="AM201" s="1">
        <v>8</v>
      </c>
      <c r="AN201" s="1">
        <v>10</v>
      </c>
      <c r="AO201" s="1">
        <v>13</v>
      </c>
      <c r="AP201" s="1">
        <v>11</v>
      </c>
      <c r="AQ201" s="1">
        <v>21</v>
      </c>
      <c r="AR201" s="1">
        <v>12</v>
      </c>
      <c r="AS201" s="1">
        <v>7</v>
      </c>
      <c r="AT201" s="1">
        <v>7</v>
      </c>
      <c r="AU201" s="1">
        <v>5</v>
      </c>
      <c r="AV201" s="1">
        <v>7</v>
      </c>
      <c r="AW201" s="1">
        <v>3</v>
      </c>
      <c r="AY201" s="31">
        <f t="shared" si="111"/>
        <v>5</v>
      </c>
      <c r="AZ201" s="5">
        <f t="shared" si="112"/>
        <v>5.8</v>
      </c>
      <c r="BA201" s="5">
        <f t="shared" ref="BA201:BA202" si="113">IF(SUM(AN201:AW201)&gt;=0,AVERAGE(AN201:AW201),"")</f>
        <v>9.6</v>
      </c>
      <c r="BB201" s="5"/>
      <c r="BC201" s="32">
        <f t="shared" ref="BC201:BC202" si="114">(AW201-BA201)/BA201</f>
        <v>-0.6875</v>
      </c>
    </row>
    <row r="202" spans="2:56" ht="11.25" customHeight="1">
      <c r="C202" s="1" t="s">
        <v>214</v>
      </c>
      <c r="D202" s="1" t="s">
        <v>215</v>
      </c>
      <c r="E202" s="1">
        <v>9</v>
      </c>
      <c r="F202" s="1">
        <v>8</v>
      </c>
      <c r="G202" s="1">
        <v>8</v>
      </c>
      <c r="H202" s="1">
        <v>7</v>
      </c>
      <c r="I202" s="1">
        <v>2</v>
      </c>
      <c r="J202" s="1">
        <v>13</v>
      </c>
      <c r="K202" s="1">
        <v>7</v>
      </c>
      <c r="L202" s="1">
        <v>16</v>
      </c>
      <c r="M202" s="1">
        <v>20</v>
      </c>
      <c r="N202" s="1">
        <v>18</v>
      </c>
      <c r="O202" s="1">
        <v>20</v>
      </c>
      <c r="P202" s="1">
        <v>30</v>
      </c>
      <c r="Q202" s="1">
        <v>30</v>
      </c>
      <c r="R202" s="1">
        <v>26</v>
      </c>
      <c r="S202" s="1">
        <v>19</v>
      </c>
      <c r="T202" s="1">
        <v>29</v>
      </c>
      <c r="U202" s="1">
        <v>20</v>
      </c>
      <c r="V202" s="1">
        <v>27</v>
      </c>
      <c r="W202" s="1">
        <v>23</v>
      </c>
      <c r="X202" s="1">
        <v>26</v>
      </c>
      <c r="Y202" s="1">
        <v>26</v>
      </c>
      <c r="Z202" s="1">
        <v>32</v>
      </c>
      <c r="AA202" s="1">
        <v>32</v>
      </c>
      <c r="AB202" s="1">
        <f>22+9</f>
        <v>31</v>
      </c>
      <c r="AC202" s="1">
        <f>14+18</f>
        <v>32</v>
      </c>
      <c r="AD202" s="1">
        <f>1+28</f>
        <v>29</v>
      </c>
      <c r="AE202" s="1">
        <v>36</v>
      </c>
      <c r="AF202" s="1">
        <v>35</v>
      </c>
      <c r="AG202" s="1">
        <v>31</v>
      </c>
      <c r="AH202" s="1">
        <v>30</v>
      </c>
      <c r="AI202" s="1">
        <v>18</v>
      </c>
      <c r="AJ202" s="1">
        <v>17</v>
      </c>
      <c r="AK202" s="1">
        <v>25</v>
      </c>
      <c r="AL202" s="1">
        <v>32</v>
      </c>
      <c r="AM202" s="1">
        <v>27</v>
      </c>
      <c r="AN202" s="1">
        <v>22</v>
      </c>
      <c r="AO202" s="1">
        <v>15</v>
      </c>
      <c r="AP202" s="1">
        <v>15</v>
      </c>
      <c r="AQ202" s="1">
        <v>16</v>
      </c>
      <c r="AR202" s="1">
        <v>18</v>
      </c>
      <c r="AS202" s="1">
        <v>11</v>
      </c>
      <c r="AT202" s="1">
        <v>6</v>
      </c>
      <c r="AU202" s="1">
        <v>5</v>
      </c>
      <c r="AV202" s="1">
        <v>5</v>
      </c>
      <c r="AW202" s="1">
        <v>4</v>
      </c>
      <c r="AY202" s="31">
        <f t="shared" si="111"/>
        <v>4.666666666666667</v>
      </c>
      <c r="AZ202" s="5">
        <f t="shared" si="112"/>
        <v>6.2</v>
      </c>
      <c r="BA202" s="5">
        <f t="shared" si="113"/>
        <v>11.7</v>
      </c>
      <c r="BB202" s="5"/>
      <c r="BC202" s="32">
        <f t="shared" si="114"/>
        <v>-0.65811965811965811</v>
      </c>
    </row>
    <row r="203" spans="2:56" ht="11.25" customHeight="1">
      <c r="C203" s="1" t="s">
        <v>216</v>
      </c>
      <c r="D203" s="1" t="s">
        <v>194</v>
      </c>
      <c r="AQ203" s="1">
        <v>0</v>
      </c>
      <c r="AR203" s="1">
        <v>1</v>
      </c>
      <c r="AS203" s="1">
        <v>1</v>
      </c>
      <c r="AT203" s="1">
        <v>0</v>
      </c>
      <c r="AU203" s="1">
        <v>0</v>
      </c>
      <c r="AX203" s="25"/>
      <c r="AY203" s="34" t="s">
        <v>22</v>
      </c>
      <c r="AZ203" s="3" t="s">
        <v>22</v>
      </c>
      <c r="BA203" s="3" t="s">
        <v>22</v>
      </c>
      <c r="BC203" s="33"/>
    </row>
    <row r="204" spans="2:56" s="40" customFormat="1" ht="11.25" customHeight="1">
      <c r="B204" s="52"/>
      <c r="C204" s="40" t="s">
        <v>199</v>
      </c>
      <c r="D204" s="40" t="s">
        <v>196</v>
      </c>
      <c r="E204" s="40">
        <v>39</v>
      </c>
      <c r="F204" s="40">
        <v>42</v>
      </c>
      <c r="G204" s="40">
        <v>23</v>
      </c>
      <c r="H204" s="40">
        <v>39</v>
      </c>
      <c r="I204" s="40">
        <v>24</v>
      </c>
      <c r="J204" s="40">
        <v>24</v>
      </c>
      <c r="K204" s="40">
        <v>22</v>
      </c>
      <c r="L204" s="40">
        <v>34</v>
      </c>
      <c r="M204" s="40">
        <v>18</v>
      </c>
      <c r="N204" s="40">
        <v>32</v>
      </c>
      <c r="O204" s="40">
        <v>37</v>
      </c>
      <c r="P204" s="40">
        <v>43</v>
      </c>
      <c r="Q204" s="40">
        <v>37</v>
      </c>
      <c r="R204" s="40">
        <v>47</v>
      </c>
      <c r="S204" s="40">
        <v>42</v>
      </c>
      <c r="T204" s="40">
        <v>36</v>
      </c>
      <c r="U204" s="40">
        <v>49</v>
      </c>
      <c r="V204" s="40">
        <v>62</v>
      </c>
      <c r="W204" s="40">
        <v>60</v>
      </c>
      <c r="X204" s="40">
        <v>74</v>
      </c>
      <c r="Y204" s="40">
        <f>29+46</f>
        <v>75</v>
      </c>
      <c r="Z204" s="40">
        <v>60</v>
      </c>
      <c r="AA204" s="40">
        <v>66</v>
      </c>
      <c r="AB204" s="40">
        <f>4+40</f>
        <v>44</v>
      </c>
      <c r="AC204" s="40">
        <f>3+39</f>
        <v>42</v>
      </c>
      <c r="AD204" s="40">
        <f>4+42</f>
        <v>46</v>
      </c>
      <c r="AE204" s="40">
        <v>64</v>
      </c>
      <c r="AF204" s="40">
        <v>48</v>
      </c>
      <c r="AG204" s="40">
        <v>44</v>
      </c>
      <c r="AH204" s="40">
        <v>53</v>
      </c>
      <c r="AI204" s="40">
        <v>28</v>
      </c>
      <c r="AJ204" s="40">
        <v>30</v>
      </c>
      <c r="AK204" s="40">
        <v>49</v>
      </c>
      <c r="AL204" s="40">
        <v>38</v>
      </c>
      <c r="AM204" s="40">
        <v>28</v>
      </c>
      <c r="AN204" s="40">
        <v>32</v>
      </c>
      <c r="AO204" s="40">
        <v>32</v>
      </c>
      <c r="AP204" s="40">
        <v>30</v>
      </c>
      <c r="AQ204" s="40">
        <v>22</v>
      </c>
      <c r="AR204" s="40">
        <v>33</v>
      </c>
      <c r="AS204" s="40">
        <v>14</v>
      </c>
      <c r="AT204" s="40">
        <v>16</v>
      </c>
      <c r="AU204" s="40">
        <v>11</v>
      </c>
      <c r="AV204" s="40">
        <v>10</v>
      </c>
      <c r="AW204" s="40">
        <v>7</v>
      </c>
      <c r="AY204" s="41">
        <f t="shared" ref="AY204:AY205" si="115">IF(SUM(AU204:AW204)&gt;=0,AVERAGE(AU204:AW204),"")</f>
        <v>9.3333333333333339</v>
      </c>
      <c r="AZ204" s="42">
        <f t="shared" ref="AZ204:AZ205" si="116">IF(SUM(AS204:AW204)&gt;=0,AVERAGE(AS204:AW204),"")</f>
        <v>11.6</v>
      </c>
      <c r="BA204" s="42">
        <f t="shared" ref="BA204:BA205" si="117">IF(SUM(AN204:AW204)&gt;=0,AVERAGE(AN204:AW204),"")</f>
        <v>20.7</v>
      </c>
      <c r="BB204" s="42"/>
      <c r="BC204" s="43">
        <f t="shared" ref="BC204:BC205" si="118">(AW204-BA204)/BA204</f>
        <v>-0.66183574879227047</v>
      </c>
    </row>
    <row r="205" spans="2:56" s="40" customFormat="1" ht="11.25" customHeight="1">
      <c r="B205" s="52"/>
      <c r="D205" s="40" t="s">
        <v>200</v>
      </c>
      <c r="L205" s="44" t="s">
        <v>29</v>
      </c>
      <c r="M205" s="44" t="s">
        <v>29</v>
      </c>
      <c r="N205" s="44" t="s">
        <v>29</v>
      </c>
      <c r="O205" s="44" t="s">
        <v>29</v>
      </c>
      <c r="P205" s="44" t="s">
        <v>29</v>
      </c>
      <c r="Q205" s="44" t="s">
        <v>29</v>
      </c>
      <c r="R205" s="44" t="s">
        <v>29</v>
      </c>
      <c r="S205" s="44" t="s">
        <v>29</v>
      </c>
      <c r="T205" s="44" t="s">
        <v>29</v>
      </c>
      <c r="U205" s="44" t="s">
        <v>29</v>
      </c>
      <c r="V205" s="44" t="s">
        <v>29</v>
      </c>
      <c r="W205" s="44"/>
      <c r="X205" s="44"/>
      <c r="Y205" s="44"/>
      <c r="Z205" s="44"/>
      <c r="AA205" s="44"/>
      <c r="AB205" s="44"/>
      <c r="AC205" s="44"/>
      <c r="AD205" s="44"/>
      <c r="AE205" s="44"/>
      <c r="AF205" s="40">
        <v>3</v>
      </c>
      <c r="AG205" s="40">
        <v>27</v>
      </c>
      <c r="AH205" s="40">
        <v>29</v>
      </c>
      <c r="AI205" s="40">
        <v>22</v>
      </c>
      <c r="AJ205" s="40">
        <v>25</v>
      </c>
      <c r="AK205" s="40">
        <v>22</v>
      </c>
      <c r="AL205" s="40">
        <v>16</v>
      </c>
      <c r="AM205" s="40">
        <v>13</v>
      </c>
      <c r="AN205" s="40">
        <v>20</v>
      </c>
      <c r="AO205" s="40">
        <v>4</v>
      </c>
      <c r="AP205" s="40">
        <v>7</v>
      </c>
      <c r="AQ205" s="40">
        <v>8</v>
      </c>
      <c r="AR205" s="40">
        <v>4</v>
      </c>
      <c r="AS205" s="40">
        <v>2</v>
      </c>
      <c r="AT205" s="40">
        <v>11</v>
      </c>
      <c r="AU205" s="40">
        <v>9</v>
      </c>
      <c r="AV205" s="40">
        <v>16</v>
      </c>
      <c r="AW205" s="40">
        <v>19</v>
      </c>
      <c r="AY205" s="41">
        <f t="shared" si="115"/>
        <v>14.666666666666666</v>
      </c>
      <c r="AZ205" s="42">
        <f t="shared" si="116"/>
        <v>11.4</v>
      </c>
      <c r="BA205" s="42">
        <f t="shared" si="117"/>
        <v>10</v>
      </c>
      <c r="BB205" s="42"/>
      <c r="BC205" s="43">
        <f t="shared" si="118"/>
        <v>0.9</v>
      </c>
    </row>
    <row r="206" spans="2:56" ht="11" customHeight="1">
      <c r="C206" s="1" t="s">
        <v>219</v>
      </c>
      <c r="D206" s="1" t="s">
        <v>215</v>
      </c>
      <c r="E206" s="1">
        <v>134</v>
      </c>
      <c r="F206" s="1">
        <v>105</v>
      </c>
      <c r="G206" s="1">
        <v>97</v>
      </c>
      <c r="H206" s="1">
        <v>76</v>
      </c>
      <c r="I206" s="1">
        <v>79</v>
      </c>
      <c r="J206" s="1">
        <v>56</v>
      </c>
      <c r="K206" s="1">
        <v>44</v>
      </c>
      <c r="L206" s="1">
        <v>58</v>
      </c>
      <c r="M206" s="1">
        <v>73</v>
      </c>
      <c r="N206" s="1">
        <v>73</v>
      </c>
      <c r="O206" s="1">
        <v>101</v>
      </c>
      <c r="P206" s="1">
        <v>116</v>
      </c>
      <c r="Q206" s="1">
        <v>135</v>
      </c>
      <c r="R206" s="1">
        <v>177</v>
      </c>
      <c r="S206" s="1">
        <v>178</v>
      </c>
      <c r="T206" s="1">
        <v>160</v>
      </c>
      <c r="U206" s="1">
        <v>155</v>
      </c>
      <c r="V206" s="1">
        <v>141</v>
      </c>
      <c r="W206" s="1">
        <v>132</v>
      </c>
      <c r="X206" s="1">
        <f>14+164</f>
        <v>178</v>
      </c>
      <c r="Y206" s="1">
        <f>18+130</f>
        <v>148</v>
      </c>
      <c r="Z206" s="1">
        <f>18+99</f>
        <v>117</v>
      </c>
      <c r="AA206" s="1">
        <f>14+130</f>
        <v>144</v>
      </c>
      <c r="AB206" s="1">
        <f>5+88+11+64</f>
        <v>168</v>
      </c>
      <c r="AC206" s="1">
        <f>3+64+11+84</f>
        <v>162</v>
      </c>
      <c r="AD206" s="1">
        <f>1+19+18+111</f>
        <v>149</v>
      </c>
      <c r="AE206" s="1">
        <v>174</v>
      </c>
      <c r="AF206" s="1">
        <v>162</v>
      </c>
      <c r="AG206" s="1">
        <v>136</v>
      </c>
      <c r="AH206" s="1">
        <v>151</v>
      </c>
      <c r="AI206" s="1">
        <v>140</v>
      </c>
      <c r="AJ206" s="1">
        <v>147</v>
      </c>
      <c r="AK206" s="1">
        <v>122</v>
      </c>
      <c r="AL206" s="1">
        <v>148</v>
      </c>
      <c r="AM206" s="1">
        <v>121</v>
      </c>
      <c r="AN206" s="1">
        <v>120</v>
      </c>
      <c r="AO206" s="1">
        <v>106</v>
      </c>
      <c r="AP206" s="1">
        <v>85</v>
      </c>
      <c r="AQ206" s="1">
        <v>83</v>
      </c>
      <c r="AR206" s="1">
        <v>132</v>
      </c>
      <c r="AS206" s="1">
        <v>86</v>
      </c>
      <c r="AT206" s="1">
        <v>83</v>
      </c>
      <c r="AU206" s="1">
        <v>83</v>
      </c>
      <c r="AV206" s="1">
        <v>95</v>
      </c>
      <c r="AW206" s="1">
        <v>107</v>
      </c>
      <c r="AY206" s="31">
        <f t="shared" ref="AY206:AY212" si="119">IF(SUM(AU206:AW206)&gt;=0,AVERAGE(AU206:AW206),"")</f>
        <v>95</v>
      </c>
      <c r="AZ206" s="5">
        <f t="shared" ref="AZ206:AZ212" si="120">IF(SUM(AS206:AW206)&gt;=0,AVERAGE(AS206:AW206),"")</f>
        <v>90.8</v>
      </c>
      <c r="BA206" s="5">
        <f t="shared" ref="BA206:BA207" si="121">IF(SUM(AN206:AW206)&gt;=0,AVERAGE(AN206:AW206),"")</f>
        <v>98</v>
      </c>
      <c r="BB206" s="5"/>
      <c r="BC206" s="32">
        <f t="shared" ref="BC206:BC207" si="122">(AW206-BA206)/BA206</f>
        <v>9.1836734693877556E-2</v>
      </c>
    </row>
    <row r="207" spans="2:56" ht="11.25" customHeight="1">
      <c r="D207" s="1" t="s">
        <v>196</v>
      </c>
      <c r="E207" s="1">
        <v>96</v>
      </c>
      <c r="F207" s="1">
        <v>85</v>
      </c>
      <c r="G207" s="1">
        <v>85</v>
      </c>
      <c r="H207" s="1">
        <v>45</v>
      </c>
      <c r="I207" s="1">
        <v>43</v>
      </c>
      <c r="J207" s="1">
        <v>43</v>
      </c>
      <c r="K207" s="1">
        <v>35</v>
      </c>
      <c r="L207" s="1">
        <v>46</v>
      </c>
      <c r="M207" s="1">
        <v>27</v>
      </c>
      <c r="N207" s="1">
        <v>39</v>
      </c>
      <c r="O207" s="1">
        <v>30</v>
      </c>
      <c r="P207" s="1">
        <v>39</v>
      </c>
      <c r="Q207" s="1">
        <v>54</v>
      </c>
      <c r="R207" s="1">
        <v>55</v>
      </c>
      <c r="S207" s="1">
        <f>59+10</f>
        <v>69</v>
      </c>
      <c r="T207" s="1">
        <v>55</v>
      </c>
      <c r="U207" s="1">
        <v>69</v>
      </c>
      <c r="V207" s="1">
        <v>63</v>
      </c>
      <c r="W207" s="1">
        <v>74</v>
      </c>
      <c r="X207" s="1">
        <f>12+55</f>
        <v>67</v>
      </c>
      <c r="Y207" s="1">
        <f>15+41</f>
        <v>56</v>
      </c>
      <c r="Z207" s="1">
        <f>15+34</f>
        <v>49</v>
      </c>
      <c r="AA207" s="1">
        <f>14+32</f>
        <v>46</v>
      </c>
      <c r="AB207" s="1">
        <f>10+20+11+14</f>
        <v>55</v>
      </c>
      <c r="AC207" s="1">
        <f>9+27+14+18</f>
        <v>68</v>
      </c>
      <c r="AD207" s="1">
        <f>3+7+21+20</f>
        <v>51</v>
      </c>
      <c r="AE207" s="1">
        <v>46</v>
      </c>
      <c r="AF207" s="1">
        <v>116</v>
      </c>
      <c r="AG207" s="1">
        <v>77</v>
      </c>
      <c r="AH207" s="1">
        <v>49</v>
      </c>
      <c r="AI207" s="1">
        <v>34</v>
      </c>
      <c r="AJ207" s="1">
        <v>36</v>
      </c>
      <c r="AK207" s="1">
        <v>54</v>
      </c>
      <c r="AL207" s="1">
        <v>62</v>
      </c>
      <c r="AM207" s="1">
        <v>57</v>
      </c>
      <c r="AN207" s="1">
        <v>57</v>
      </c>
      <c r="AO207" s="1">
        <v>89</v>
      </c>
      <c r="AP207" s="1">
        <v>56</v>
      </c>
      <c r="AQ207" s="1">
        <v>58</v>
      </c>
      <c r="AR207" s="1">
        <v>57</v>
      </c>
      <c r="AS207" s="1">
        <v>63</v>
      </c>
      <c r="AT207" s="1">
        <v>69</v>
      </c>
      <c r="AU207" s="1">
        <v>80</v>
      </c>
      <c r="AV207" s="1">
        <v>87</v>
      </c>
      <c r="AW207" s="1">
        <v>71</v>
      </c>
      <c r="AY207" s="31">
        <f t="shared" si="119"/>
        <v>79.333333333333329</v>
      </c>
      <c r="AZ207" s="5">
        <f t="shared" si="120"/>
        <v>74</v>
      </c>
      <c r="BA207" s="5">
        <f t="shared" si="121"/>
        <v>68.7</v>
      </c>
      <c r="BB207" s="5"/>
      <c r="BC207" s="32">
        <f t="shared" si="122"/>
        <v>3.3478893740902432E-2</v>
      </c>
    </row>
    <row r="208" spans="2:56" ht="11.25" customHeight="1">
      <c r="C208" s="1" t="s">
        <v>220</v>
      </c>
      <c r="D208" s="1" t="s">
        <v>194</v>
      </c>
      <c r="AQ208" s="1">
        <v>0</v>
      </c>
      <c r="AR208" s="1">
        <v>1</v>
      </c>
      <c r="AS208" s="1">
        <v>3</v>
      </c>
      <c r="AT208" s="1">
        <v>1</v>
      </c>
      <c r="AU208" s="1">
        <v>2</v>
      </c>
      <c r="AV208" s="1">
        <v>0</v>
      </c>
      <c r="AW208" s="1">
        <v>1</v>
      </c>
      <c r="AX208" s="25"/>
      <c r="AY208" s="31">
        <f t="shared" si="119"/>
        <v>1</v>
      </c>
      <c r="AZ208" s="5">
        <f t="shared" si="120"/>
        <v>1.4</v>
      </c>
      <c r="BA208" s="3" t="s">
        <v>22</v>
      </c>
      <c r="BB208" s="35"/>
    </row>
    <row r="209" spans="2:55" ht="11.25" customHeight="1">
      <c r="C209" s="1" t="s">
        <v>221</v>
      </c>
      <c r="D209" s="1" t="s">
        <v>215</v>
      </c>
      <c r="H209" s="1">
        <v>20</v>
      </c>
      <c r="I209" s="1">
        <v>23</v>
      </c>
      <c r="J209" s="1">
        <v>14</v>
      </c>
      <c r="K209" s="1">
        <v>16</v>
      </c>
      <c r="L209" s="1">
        <v>8</v>
      </c>
      <c r="M209" s="1">
        <v>13</v>
      </c>
      <c r="N209" s="1">
        <v>5</v>
      </c>
      <c r="O209" s="1">
        <v>13</v>
      </c>
      <c r="P209" s="1">
        <v>17</v>
      </c>
      <c r="Q209" s="1">
        <v>11</v>
      </c>
      <c r="R209" s="1">
        <v>21</v>
      </c>
      <c r="S209" s="1">
        <v>13</v>
      </c>
      <c r="T209" s="1">
        <v>16</v>
      </c>
      <c r="U209" s="1">
        <v>16</v>
      </c>
      <c r="V209" s="1">
        <v>8</v>
      </c>
      <c r="W209" s="1">
        <f>8+7</f>
        <v>15</v>
      </c>
      <c r="X209" s="1">
        <f>11+6</f>
        <v>17</v>
      </c>
      <c r="Y209" s="1">
        <f>2+15</f>
        <v>17</v>
      </c>
      <c r="Z209" s="1">
        <f>1+19</f>
        <v>20</v>
      </c>
      <c r="AA209" s="1">
        <v>12</v>
      </c>
      <c r="AB209" s="1">
        <f>1+17</f>
        <v>18</v>
      </c>
      <c r="AC209" s="1">
        <f>6+12</f>
        <v>18</v>
      </c>
      <c r="AD209" s="1">
        <f>2+19</f>
        <v>21</v>
      </c>
      <c r="AE209" s="1">
        <v>20</v>
      </c>
      <c r="AF209" s="1">
        <v>26</v>
      </c>
      <c r="AG209" s="1">
        <v>30</v>
      </c>
      <c r="AH209" s="1">
        <v>20</v>
      </c>
      <c r="AI209" s="1">
        <v>14</v>
      </c>
      <c r="AJ209" s="1">
        <v>30</v>
      </c>
      <c r="AK209" s="1">
        <v>30</v>
      </c>
      <c r="AL209" s="1">
        <v>23</v>
      </c>
      <c r="AM209" s="1">
        <v>14</v>
      </c>
      <c r="AN209" s="1">
        <v>27</v>
      </c>
      <c r="AO209" s="1">
        <v>8</v>
      </c>
      <c r="AP209" s="1">
        <v>12</v>
      </c>
      <c r="AQ209" s="1">
        <v>10</v>
      </c>
      <c r="AR209" s="1">
        <v>14</v>
      </c>
      <c r="AS209" s="1">
        <v>8</v>
      </c>
      <c r="AT209" s="1">
        <v>6</v>
      </c>
      <c r="AU209" s="1">
        <v>8</v>
      </c>
      <c r="AV209" s="1">
        <v>7</v>
      </c>
      <c r="AW209" s="1">
        <v>5</v>
      </c>
      <c r="AY209" s="31">
        <f t="shared" si="119"/>
        <v>6.666666666666667</v>
      </c>
      <c r="AZ209" s="5">
        <f t="shared" si="120"/>
        <v>6.8</v>
      </c>
      <c r="BA209" s="5">
        <f>IF(SUM(AN209:AW209)&gt;=0,AVERAGE(AN209:AW209),"")</f>
        <v>10.5</v>
      </c>
      <c r="BB209" s="5"/>
      <c r="BC209" s="32">
        <f>(AW209-BA209)/BA209</f>
        <v>-0.52380952380952384</v>
      </c>
    </row>
    <row r="210" spans="2:55" ht="11.25" customHeight="1">
      <c r="C210" s="1" t="s">
        <v>222</v>
      </c>
      <c r="D210" s="1" t="s">
        <v>215</v>
      </c>
      <c r="E210" s="1">
        <v>46</v>
      </c>
      <c r="F210" s="1">
        <v>36</v>
      </c>
      <c r="G210" s="1">
        <v>22</v>
      </c>
      <c r="H210" s="1">
        <v>25</v>
      </c>
      <c r="I210" s="1">
        <v>30</v>
      </c>
      <c r="J210" s="1">
        <v>20</v>
      </c>
      <c r="K210" s="1">
        <v>20</v>
      </c>
      <c r="L210" s="1">
        <v>22</v>
      </c>
      <c r="M210" s="1">
        <v>24</v>
      </c>
      <c r="N210" s="1">
        <v>23</v>
      </c>
      <c r="O210" s="1">
        <v>27</v>
      </c>
      <c r="P210" s="1">
        <v>39</v>
      </c>
      <c r="Q210" s="1">
        <v>28</v>
      </c>
      <c r="R210" s="1">
        <v>48</v>
      </c>
      <c r="S210" s="1">
        <f>1+2+4+8+6+5+2+2</f>
        <v>30</v>
      </c>
      <c r="T210" s="1">
        <v>58</v>
      </c>
      <c r="U210" s="1">
        <v>60</v>
      </c>
      <c r="V210" s="1">
        <v>60</v>
      </c>
      <c r="W210" s="1">
        <v>59</v>
      </c>
      <c r="X210" s="1">
        <f>5+6+1+15+2+9+6+1+7</f>
        <v>52</v>
      </c>
      <c r="Y210" s="1">
        <f>3+9+2+18+15+6+1+2</f>
        <v>56</v>
      </c>
      <c r="Z210" s="1">
        <f>5+6+2+13+1+33+9+1+4+1</f>
        <v>75</v>
      </c>
      <c r="AA210" s="1">
        <v>46</v>
      </c>
      <c r="AB210" s="1">
        <f>24+21</f>
        <v>45</v>
      </c>
      <c r="AC210" s="1">
        <f>16+35</f>
        <v>51</v>
      </c>
      <c r="AD210" s="1">
        <f>6+31</f>
        <v>37</v>
      </c>
      <c r="AE210" s="1">
        <v>39</v>
      </c>
      <c r="AF210" s="1">
        <v>31</v>
      </c>
      <c r="AG210" s="1">
        <v>29</v>
      </c>
      <c r="AH210" s="1">
        <v>38</v>
      </c>
      <c r="AI210" s="1">
        <v>32</v>
      </c>
      <c r="AJ210" s="1">
        <v>48</v>
      </c>
      <c r="AK210" s="1">
        <v>33</v>
      </c>
      <c r="AL210" s="1">
        <v>30</v>
      </c>
      <c r="AM210" s="1">
        <v>44</v>
      </c>
      <c r="AN210" s="1">
        <v>35</v>
      </c>
      <c r="AO210" s="1">
        <v>42</v>
      </c>
      <c r="AP210" s="1">
        <v>33</v>
      </c>
      <c r="AQ210" s="1">
        <v>29</v>
      </c>
      <c r="AR210" s="1">
        <v>25</v>
      </c>
      <c r="AS210" s="1">
        <v>12</v>
      </c>
      <c r="AT210" s="1">
        <v>26</v>
      </c>
      <c r="AU210" s="1">
        <v>29</v>
      </c>
      <c r="AV210" s="1">
        <v>29</v>
      </c>
      <c r="AW210" s="1">
        <v>20</v>
      </c>
      <c r="AY210" s="31">
        <f t="shared" si="119"/>
        <v>26</v>
      </c>
      <c r="AZ210" s="5">
        <f t="shared" si="120"/>
        <v>23.2</v>
      </c>
      <c r="BA210" s="5">
        <f>IF(SUM(AN210:AW210)&gt;=0,AVERAGE(AN210:AW210),"")</f>
        <v>28</v>
      </c>
      <c r="BB210" s="5"/>
      <c r="BC210" s="32">
        <f>(AW210-BA210)/BA210</f>
        <v>-0.2857142857142857</v>
      </c>
    </row>
    <row r="211" spans="2:55" ht="11.25" customHeight="1">
      <c r="D211" s="1" t="s">
        <v>196</v>
      </c>
      <c r="E211" s="1">
        <v>41</v>
      </c>
      <c r="F211" s="1">
        <v>45</v>
      </c>
      <c r="G211" s="1">
        <v>42</v>
      </c>
      <c r="H211" s="1">
        <v>48</v>
      </c>
      <c r="I211" s="1">
        <v>44</v>
      </c>
      <c r="J211" s="1">
        <v>27</v>
      </c>
      <c r="K211" s="1">
        <v>25</v>
      </c>
      <c r="L211" s="1">
        <v>35</v>
      </c>
      <c r="M211" s="1">
        <v>46</v>
      </c>
      <c r="N211" s="1">
        <v>51</v>
      </c>
      <c r="O211" s="1">
        <v>33</v>
      </c>
      <c r="P211" s="1">
        <v>59</v>
      </c>
      <c r="Q211" s="1">
        <v>34</v>
      </c>
      <c r="R211" s="1">
        <v>77</v>
      </c>
      <c r="S211" s="1">
        <f>15+17+25</f>
        <v>57</v>
      </c>
      <c r="T211" s="1">
        <v>56</v>
      </c>
      <c r="U211" s="1">
        <v>69</v>
      </c>
      <c r="V211" s="1">
        <v>33</v>
      </c>
      <c r="W211" s="1">
        <v>44</v>
      </c>
      <c r="X211" s="1">
        <f>18+9+21</f>
        <v>48</v>
      </c>
      <c r="Y211" s="1">
        <f>21+11+11</f>
        <v>43</v>
      </c>
      <c r="Z211" s="1">
        <f>22+8+20</f>
        <v>50</v>
      </c>
      <c r="AA211" s="1">
        <f>15+6+17</f>
        <v>38</v>
      </c>
      <c r="AB211" s="1">
        <f>16+30</f>
        <v>46</v>
      </c>
      <c r="AC211" s="1">
        <f>9+27</f>
        <v>36</v>
      </c>
      <c r="AD211" s="1">
        <f>4+32</f>
        <v>36</v>
      </c>
      <c r="AE211" s="1">
        <v>55</v>
      </c>
      <c r="AF211" s="1">
        <v>50</v>
      </c>
      <c r="AG211" s="1">
        <v>58</v>
      </c>
      <c r="AH211" s="1">
        <v>38</v>
      </c>
      <c r="AI211" s="1">
        <v>52</v>
      </c>
      <c r="AJ211" s="1">
        <v>49</v>
      </c>
      <c r="AK211" s="1">
        <v>67</v>
      </c>
      <c r="AL211" s="1">
        <v>119</v>
      </c>
      <c r="AM211" s="1">
        <v>102</v>
      </c>
      <c r="AN211" s="1">
        <v>134</v>
      </c>
      <c r="AO211" s="1">
        <v>121</v>
      </c>
      <c r="AP211" s="1">
        <v>99</v>
      </c>
      <c r="AQ211" s="1">
        <v>76</v>
      </c>
      <c r="AR211" s="1">
        <v>72</v>
      </c>
      <c r="AS211" s="1">
        <v>74</v>
      </c>
      <c r="AT211" s="1">
        <v>79</v>
      </c>
      <c r="AU211" s="1">
        <v>83</v>
      </c>
      <c r="AV211" s="1">
        <v>91</v>
      </c>
      <c r="AW211" s="1">
        <v>78</v>
      </c>
      <c r="AY211" s="31">
        <f t="shared" si="119"/>
        <v>84</v>
      </c>
      <c r="AZ211" s="5">
        <f t="shared" si="120"/>
        <v>81</v>
      </c>
      <c r="BA211" s="5">
        <f>IF(SUM(AN211:AW211)&gt;=0,AVERAGE(AN211:AW211),"")</f>
        <v>90.7</v>
      </c>
      <c r="BB211" s="5"/>
      <c r="BC211" s="32">
        <f>(AW211-BA211)/BA211</f>
        <v>-0.14002205071664831</v>
      </c>
    </row>
    <row r="212" spans="2:55" ht="11.25" customHeight="1">
      <c r="C212" s="1" t="s">
        <v>223</v>
      </c>
      <c r="D212" s="1" t="s">
        <v>224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4</v>
      </c>
      <c r="AS212" s="1">
        <v>4</v>
      </c>
      <c r="AT212" s="1">
        <v>4</v>
      </c>
      <c r="AU212" s="1">
        <v>0</v>
      </c>
      <c r="AV212" s="1">
        <v>1</v>
      </c>
      <c r="AW212" s="1">
        <v>1</v>
      </c>
      <c r="AY212" s="31">
        <f t="shared" si="119"/>
        <v>0.66666666666666663</v>
      </c>
      <c r="AZ212" s="5">
        <f t="shared" si="120"/>
        <v>2</v>
      </c>
      <c r="BA212" s="5">
        <f>IF(SUM(AN212:AW212)&gt;=0,AVERAGE(AN212:AW212),"")</f>
        <v>1.4</v>
      </c>
      <c r="BB212" s="5"/>
      <c r="BC212" s="32">
        <f>(AW212-BA212)/BA212</f>
        <v>-0.28571428571428564</v>
      </c>
    </row>
    <row r="213" spans="2:55" ht="11.25" customHeight="1">
      <c r="C213" s="1" t="s">
        <v>225</v>
      </c>
      <c r="D213" s="1" t="s">
        <v>226</v>
      </c>
      <c r="F213" s="1">
        <v>60</v>
      </c>
      <c r="G213" s="1">
        <v>50</v>
      </c>
      <c r="H213" s="1">
        <v>48</v>
      </c>
      <c r="I213" s="1">
        <v>59</v>
      </c>
      <c r="J213" s="1">
        <v>47</v>
      </c>
      <c r="K213" s="1">
        <v>25</v>
      </c>
      <c r="L213" s="1">
        <v>27</v>
      </c>
      <c r="M213" s="1">
        <v>33</v>
      </c>
      <c r="N213" s="1">
        <v>24</v>
      </c>
      <c r="O213" s="1">
        <v>34</v>
      </c>
      <c r="P213" s="1">
        <v>24</v>
      </c>
      <c r="Q213" s="1">
        <v>22</v>
      </c>
      <c r="R213" s="1">
        <v>23</v>
      </c>
      <c r="S213" s="1">
        <v>59</v>
      </c>
      <c r="T213" s="1">
        <v>71</v>
      </c>
      <c r="U213" s="1">
        <v>99</v>
      </c>
      <c r="V213" s="1">
        <v>106</v>
      </c>
      <c r="W213" s="1">
        <v>78</v>
      </c>
      <c r="X213" s="1">
        <v>74</v>
      </c>
      <c r="Y213" s="1">
        <v>89</v>
      </c>
      <c r="Z213" s="1">
        <f>64+1</f>
        <v>65</v>
      </c>
      <c r="AA213" s="1">
        <v>55</v>
      </c>
      <c r="AB213" s="1">
        <f>33+27</f>
        <v>60</v>
      </c>
      <c r="AC213" s="1">
        <f>14+29</f>
        <v>43</v>
      </c>
      <c r="AD213" s="1">
        <f>9+26</f>
        <v>35</v>
      </c>
      <c r="AE213" s="1">
        <v>19</v>
      </c>
      <c r="AF213" s="1">
        <v>20</v>
      </c>
      <c r="AG213" s="1">
        <v>15</v>
      </c>
      <c r="AH213" s="1">
        <v>19</v>
      </c>
      <c r="AI213" s="1">
        <v>18</v>
      </c>
      <c r="AJ213" s="1">
        <v>21</v>
      </c>
      <c r="AK213" s="1">
        <v>12</v>
      </c>
      <c r="AL213" s="1">
        <v>17</v>
      </c>
      <c r="AM213" s="1">
        <v>14</v>
      </c>
      <c r="AN213" s="1">
        <v>22</v>
      </c>
      <c r="AO213" s="1">
        <v>22</v>
      </c>
      <c r="AP213" s="1">
        <v>20</v>
      </c>
      <c r="AQ213" s="1">
        <v>13</v>
      </c>
      <c r="AR213" s="1">
        <v>4</v>
      </c>
      <c r="AY213" s="31" t="s">
        <v>22</v>
      </c>
      <c r="AZ213" s="5" t="s">
        <v>22</v>
      </c>
      <c r="BA213" s="3" t="s">
        <v>22</v>
      </c>
      <c r="BC213" s="33"/>
    </row>
    <row r="214" spans="2:55" ht="11.25" customHeight="1">
      <c r="D214" s="1" t="s">
        <v>196</v>
      </c>
      <c r="H214" s="1">
        <v>32</v>
      </c>
      <c r="I214" s="1">
        <v>46</v>
      </c>
      <c r="J214" s="1">
        <v>34</v>
      </c>
      <c r="K214" s="1">
        <v>38</v>
      </c>
      <c r="L214" s="1">
        <v>32</v>
      </c>
      <c r="M214" s="1">
        <v>23</v>
      </c>
      <c r="N214" s="1">
        <v>25</v>
      </c>
      <c r="O214" s="1">
        <v>17</v>
      </c>
      <c r="P214" s="1">
        <v>24</v>
      </c>
      <c r="Q214" s="1">
        <v>18</v>
      </c>
      <c r="R214" s="1">
        <v>19</v>
      </c>
      <c r="S214" s="1">
        <f>7+6+13</f>
        <v>26</v>
      </c>
      <c r="T214" s="1">
        <v>17</v>
      </c>
      <c r="U214" s="1">
        <v>30</v>
      </c>
      <c r="V214" s="1">
        <v>39</v>
      </c>
      <c r="W214" s="1">
        <v>38</v>
      </c>
      <c r="X214" s="1">
        <f>1+13+8+13+5</f>
        <v>40</v>
      </c>
      <c r="Y214" s="1">
        <f>6+8+14</f>
        <v>28</v>
      </c>
      <c r="Z214" s="1">
        <f>8+5+20+1</f>
        <v>34</v>
      </c>
      <c r="AA214" s="1">
        <f>4+8+13+1</f>
        <v>26</v>
      </c>
      <c r="AB214" s="1">
        <f>7+19</f>
        <v>26</v>
      </c>
      <c r="AC214" s="1">
        <f>6+17</f>
        <v>23</v>
      </c>
      <c r="AD214" s="1">
        <f>9+49</f>
        <v>58</v>
      </c>
      <c r="AE214" s="1">
        <v>62</v>
      </c>
      <c r="AF214" s="1">
        <v>59</v>
      </c>
      <c r="AG214" s="1">
        <v>55</v>
      </c>
      <c r="AH214" s="1">
        <v>37</v>
      </c>
      <c r="AI214" s="1">
        <v>50</v>
      </c>
      <c r="AJ214" s="1">
        <v>55</v>
      </c>
      <c r="AK214" s="1">
        <v>34</v>
      </c>
      <c r="AL214" s="1">
        <v>36</v>
      </c>
      <c r="AM214" s="1">
        <v>24</v>
      </c>
      <c r="AN214" s="1">
        <v>28</v>
      </c>
      <c r="AO214" s="1">
        <v>39</v>
      </c>
      <c r="AP214" s="1">
        <v>31</v>
      </c>
      <c r="AQ214" s="1">
        <v>43</v>
      </c>
      <c r="AR214" s="1">
        <v>32</v>
      </c>
      <c r="AS214" s="1">
        <v>29</v>
      </c>
      <c r="AT214" s="1">
        <v>26</v>
      </c>
      <c r="AU214" s="1">
        <v>22</v>
      </c>
      <c r="AV214" s="1">
        <v>26</v>
      </c>
      <c r="AW214" s="1">
        <v>19</v>
      </c>
      <c r="AY214" s="31">
        <f t="shared" ref="AY214:AY215" si="123">IF(SUM(AU214:AW214)&gt;=0,AVERAGE(AU214:AW214),"")</f>
        <v>22.333333333333332</v>
      </c>
      <c r="AZ214" s="5">
        <f t="shared" ref="AZ214:AZ215" si="124">IF(SUM(AS214:AW214)&gt;=0,AVERAGE(AS214:AW214),"")</f>
        <v>24.4</v>
      </c>
      <c r="BA214" s="5">
        <f>IF(SUM(AN214:AW214)&gt;=0,AVERAGE(AN214:AW214),"")</f>
        <v>29.5</v>
      </c>
      <c r="BB214" s="5"/>
      <c r="BC214" s="32">
        <f>(AW214-BA214)/BA214</f>
        <v>-0.3559322033898305</v>
      </c>
    </row>
    <row r="215" spans="2:55" ht="11.25" customHeight="1">
      <c r="C215" s="1" t="s">
        <v>227</v>
      </c>
      <c r="D215" s="1" t="s">
        <v>224</v>
      </c>
      <c r="AJ215" s="1">
        <v>0</v>
      </c>
      <c r="AK215" s="1">
        <v>3</v>
      </c>
      <c r="AL215" s="1">
        <v>4</v>
      </c>
      <c r="AM215" s="1">
        <v>8</v>
      </c>
      <c r="AN215" s="1">
        <v>4</v>
      </c>
      <c r="AO215" s="1">
        <v>9</v>
      </c>
      <c r="AP215" s="1">
        <v>8</v>
      </c>
      <c r="AQ215" s="1">
        <v>9</v>
      </c>
      <c r="AR215" s="1">
        <v>12</v>
      </c>
      <c r="AS215" s="1">
        <v>3</v>
      </c>
      <c r="AT215" s="1">
        <v>5</v>
      </c>
      <c r="AU215" s="1">
        <v>3</v>
      </c>
      <c r="AV215" s="1">
        <v>12</v>
      </c>
      <c r="AW215" s="1">
        <v>6</v>
      </c>
      <c r="AY215" s="31">
        <f t="shared" si="123"/>
        <v>7</v>
      </c>
      <c r="AZ215" s="5">
        <f t="shared" si="124"/>
        <v>5.8</v>
      </c>
      <c r="BA215" s="5">
        <f>IF(SUM(AN215:AW215)&gt;=0,AVERAGE(AN215:AW215),"")</f>
        <v>7.1</v>
      </c>
      <c r="BB215" s="5"/>
      <c r="BC215" s="32">
        <f>(AW215-BA215)/BA215</f>
        <v>-0.15492957746478869</v>
      </c>
    </row>
    <row r="216" spans="2:55" ht="11.25" customHeight="1">
      <c r="AY216" s="37"/>
      <c r="AZ216" s="5"/>
      <c r="BA216" s="5"/>
      <c r="BB216" s="5"/>
      <c r="BC216" s="39"/>
    </row>
    <row r="217" spans="2:55" ht="11.25" customHeight="1">
      <c r="B217" s="36" t="s">
        <v>398</v>
      </c>
      <c r="C217" s="1" t="s">
        <v>197</v>
      </c>
      <c r="D217" s="1" t="s">
        <v>198</v>
      </c>
      <c r="L217" s="25" t="s">
        <v>29</v>
      </c>
      <c r="M217" s="25" t="s">
        <v>29</v>
      </c>
      <c r="N217" s="25" t="s">
        <v>29</v>
      </c>
      <c r="O217" s="25" t="s">
        <v>29</v>
      </c>
      <c r="P217" s="25" t="s">
        <v>29</v>
      </c>
      <c r="Q217" s="25" t="s">
        <v>29</v>
      </c>
      <c r="R217" s="25" t="s">
        <v>29</v>
      </c>
      <c r="S217" s="25" t="s">
        <v>29</v>
      </c>
      <c r="T217" s="25" t="s">
        <v>29</v>
      </c>
      <c r="U217" s="25" t="s">
        <v>29</v>
      </c>
      <c r="V217" s="25" t="s">
        <v>29</v>
      </c>
      <c r="W217" s="25"/>
      <c r="X217" s="25"/>
      <c r="Y217" s="25"/>
      <c r="Z217" s="25"/>
      <c r="AA217" s="25"/>
      <c r="AB217" s="25"/>
      <c r="AC217" s="25"/>
      <c r="AD217" s="25"/>
      <c r="AE217" s="25"/>
      <c r="AF217" s="1">
        <v>5</v>
      </c>
      <c r="AG217" s="1">
        <v>16</v>
      </c>
      <c r="AH217" s="1">
        <v>22</v>
      </c>
      <c r="AI217" s="1">
        <v>36</v>
      </c>
      <c r="AJ217" s="1">
        <v>32</v>
      </c>
      <c r="AK217" s="1">
        <v>25</v>
      </c>
      <c r="AL217" s="1">
        <v>24</v>
      </c>
      <c r="AM217" s="1">
        <v>29</v>
      </c>
      <c r="AN217" s="1">
        <v>31</v>
      </c>
      <c r="AO217" s="1">
        <v>20</v>
      </c>
      <c r="AP217" s="1">
        <v>22</v>
      </c>
      <c r="AQ217" s="1">
        <v>38</v>
      </c>
      <c r="AR217" s="1">
        <v>30</v>
      </c>
      <c r="AS217" s="1">
        <v>16</v>
      </c>
      <c r="AT217" s="1">
        <v>21</v>
      </c>
      <c r="AU217" s="1">
        <v>19</v>
      </c>
      <c r="AV217" s="1">
        <v>16</v>
      </c>
      <c r="AW217" s="1">
        <v>12</v>
      </c>
      <c r="AY217" s="31">
        <f t="shared" ref="AY217" si="125">IF(SUM(AU217:AW217)&gt;=0,AVERAGE(AU217:AW217),"")</f>
        <v>15.666666666666666</v>
      </c>
      <c r="AZ217" s="5">
        <f t="shared" ref="AZ217:AZ221" si="126">IF(SUM(AS217:AW217)&gt;=0,AVERAGE(AS217:AW217),"")</f>
        <v>16.8</v>
      </c>
      <c r="BA217" s="5">
        <f>IF(SUM(AN217:AW217)&gt;=0,AVERAGE(AN217:AW217),"")</f>
        <v>22.5</v>
      </c>
      <c r="BB217" s="5"/>
      <c r="BC217" s="32">
        <f>(AW217-BA217)/BA217</f>
        <v>-0.46666666666666667</v>
      </c>
    </row>
    <row r="218" spans="2:55" ht="11.25" customHeight="1">
      <c r="B218" s="52"/>
      <c r="C218" s="40" t="s">
        <v>396</v>
      </c>
      <c r="D218" s="40" t="s">
        <v>397</v>
      </c>
      <c r="E218" s="40"/>
      <c r="F218" s="40"/>
      <c r="G218" s="40"/>
      <c r="H218" s="40"/>
      <c r="I218" s="40"/>
      <c r="J218" s="40"/>
      <c r="K218" s="40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>
        <v>0</v>
      </c>
      <c r="AT218" s="40">
        <v>0</v>
      </c>
      <c r="AU218" s="40">
        <v>0</v>
      </c>
      <c r="AV218" s="40">
        <v>1</v>
      </c>
      <c r="AW218" s="40">
        <v>0</v>
      </c>
      <c r="AX218" s="40"/>
      <c r="AY218" s="41">
        <f t="shared" ref="AY218" si="127">IF(SUM(AU218:AW218)&gt;=0,AVERAGE(AU218:AW218),"")</f>
        <v>0.33333333333333331</v>
      </c>
      <c r="AZ218" s="42">
        <f t="shared" si="126"/>
        <v>0.2</v>
      </c>
      <c r="BA218" s="45" t="s">
        <v>22</v>
      </c>
      <c r="BB218" s="40"/>
      <c r="BC218" s="46"/>
    </row>
    <row r="219" spans="2:55" ht="11.25" customHeight="1">
      <c r="C219" s="1" t="s">
        <v>195</v>
      </c>
      <c r="D219" s="1" t="s">
        <v>196</v>
      </c>
      <c r="E219" s="1">
        <v>55</v>
      </c>
      <c r="F219" s="1">
        <v>67</v>
      </c>
      <c r="G219" s="1">
        <v>73</v>
      </c>
      <c r="H219" s="1">
        <v>66</v>
      </c>
      <c r="I219" s="1">
        <v>58</v>
      </c>
      <c r="J219" s="1">
        <v>54</v>
      </c>
      <c r="K219" s="1">
        <v>50</v>
      </c>
      <c r="L219" s="1">
        <v>62</v>
      </c>
      <c r="M219" s="1">
        <v>43</v>
      </c>
      <c r="N219" s="1">
        <v>59</v>
      </c>
      <c r="O219" s="1">
        <v>84</v>
      </c>
      <c r="P219" s="1">
        <v>99</v>
      </c>
      <c r="Q219" s="1">
        <v>82</v>
      </c>
      <c r="R219" s="1">
        <v>73</v>
      </c>
      <c r="S219" s="1">
        <v>96</v>
      </c>
      <c r="T219" s="1">
        <v>94</v>
      </c>
      <c r="U219" s="1">
        <v>107</v>
      </c>
      <c r="V219" s="1">
        <v>95</v>
      </c>
      <c r="W219" s="1">
        <v>121</v>
      </c>
      <c r="X219" s="1">
        <v>121</v>
      </c>
      <c r="Y219" s="1">
        <v>96</v>
      </c>
      <c r="Z219" s="1">
        <v>96</v>
      </c>
      <c r="AA219" s="1">
        <v>60</v>
      </c>
      <c r="AB219" s="1">
        <f>28+46</f>
        <v>74</v>
      </c>
      <c r="AC219" s="1">
        <f>33+25</f>
        <v>58</v>
      </c>
      <c r="AD219" s="1">
        <f>28+20</f>
        <v>48</v>
      </c>
      <c r="AE219" s="1">
        <v>40</v>
      </c>
      <c r="AF219" s="1">
        <v>55</v>
      </c>
      <c r="AG219" s="1">
        <v>52</v>
      </c>
      <c r="AH219" s="1">
        <v>53</v>
      </c>
      <c r="AI219" s="1">
        <v>55</v>
      </c>
      <c r="AJ219" s="1">
        <v>60</v>
      </c>
      <c r="AK219" s="1">
        <v>58</v>
      </c>
      <c r="AL219" s="1">
        <v>61</v>
      </c>
      <c r="AM219" s="1">
        <v>61</v>
      </c>
      <c r="AN219" s="1">
        <v>54</v>
      </c>
      <c r="AO219" s="1">
        <v>51</v>
      </c>
      <c r="AP219" s="1">
        <v>56</v>
      </c>
      <c r="AQ219" s="1">
        <v>67</v>
      </c>
      <c r="AR219" s="1">
        <v>46</v>
      </c>
      <c r="AS219" s="1">
        <v>64</v>
      </c>
      <c r="AT219" s="1">
        <v>62</v>
      </c>
      <c r="AU219" s="1">
        <v>50</v>
      </c>
      <c r="AV219" s="1">
        <v>55</v>
      </c>
      <c r="AW219" s="1">
        <v>67</v>
      </c>
      <c r="AY219" s="31">
        <f t="shared" ref="AY219:AY220" si="128">IF(SUM(AU219:AW219)&gt;=0,AVERAGE(AU219:AW219),"")</f>
        <v>57.333333333333336</v>
      </c>
      <c r="AZ219" s="5">
        <f t="shared" si="126"/>
        <v>59.6</v>
      </c>
      <c r="BA219" s="5">
        <f t="shared" ref="BA219" si="129">IF(SUM(AN219:AW219)&gt;=0,AVERAGE(AN219:AW219),"")</f>
        <v>57.2</v>
      </c>
      <c r="BB219" s="5"/>
      <c r="BC219" s="32">
        <f t="shared" ref="BC219" si="130">(AW219-BA219)/BA219</f>
        <v>0.17132867132867127</v>
      </c>
    </row>
    <row r="220" spans="2:55" ht="11.25" customHeight="1">
      <c r="C220" s="1" t="s">
        <v>205</v>
      </c>
      <c r="D220" s="1" t="s">
        <v>206</v>
      </c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O220" s="1">
        <v>18</v>
      </c>
      <c r="AP220" s="1">
        <v>14</v>
      </c>
      <c r="AQ220" s="1">
        <v>19</v>
      </c>
      <c r="AR220" s="1">
        <v>12</v>
      </c>
      <c r="AS220" s="1">
        <v>16</v>
      </c>
      <c r="AT220" s="1">
        <v>13</v>
      </c>
      <c r="AU220" s="1">
        <v>6</v>
      </c>
      <c r="AV220" s="1">
        <v>13</v>
      </c>
      <c r="AW220" s="1">
        <v>11</v>
      </c>
      <c r="AY220" s="31">
        <f t="shared" si="128"/>
        <v>10</v>
      </c>
      <c r="AZ220" s="5">
        <f t="shared" si="126"/>
        <v>11.8</v>
      </c>
      <c r="BA220" s="3" t="s">
        <v>22</v>
      </c>
      <c r="BB220" s="35"/>
    </row>
    <row r="221" spans="2:55" ht="11.25" customHeight="1">
      <c r="C221" s="1" t="s">
        <v>217</v>
      </c>
      <c r="D221" s="1" t="s">
        <v>218</v>
      </c>
      <c r="K221" s="25" t="s">
        <v>29</v>
      </c>
      <c r="L221" s="25" t="s">
        <v>29</v>
      </c>
      <c r="M221" s="25" t="s">
        <v>29</v>
      </c>
      <c r="N221" s="25" t="s">
        <v>29</v>
      </c>
      <c r="O221" s="25" t="s">
        <v>29</v>
      </c>
      <c r="P221" s="25" t="s">
        <v>29</v>
      </c>
      <c r="Q221" s="25" t="s">
        <v>29</v>
      </c>
      <c r="R221" s="25" t="s">
        <v>29</v>
      </c>
      <c r="S221" s="25" t="s">
        <v>29</v>
      </c>
      <c r="T221" s="25" t="s">
        <v>29</v>
      </c>
      <c r="U221" s="25" t="s">
        <v>29</v>
      </c>
      <c r="V221" s="25" t="s">
        <v>29</v>
      </c>
      <c r="W221" s="25"/>
      <c r="X221" s="25"/>
      <c r="Y221" s="25"/>
      <c r="Z221" s="25"/>
      <c r="AA221" s="25"/>
      <c r="AB221" s="25"/>
      <c r="AC221" s="25"/>
      <c r="AD221" s="25">
        <v>0</v>
      </c>
      <c r="AE221" s="1">
        <v>1</v>
      </c>
      <c r="AF221" s="1">
        <v>2</v>
      </c>
      <c r="AG221" s="25">
        <v>6</v>
      </c>
      <c r="AH221" s="25">
        <v>2</v>
      </c>
      <c r="AI221" s="25">
        <v>8</v>
      </c>
      <c r="AJ221" s="25">
        <v>8</v>
      </c>
      <c r="AK221" s="25">
        <v>7</v>
      </c>
      <c r="AL221" s="25">
        <v>6</v>
      </c>
      <c r="AM221" s="25">
        <v>3</v>
      </c>
      <c r="AN221" s="25">
        <v>8</v>
      </c>
      <c r="AO221" s="25">
        <v>12</v>
      </c>
      <c r="AP221" s="25">
        <v>33</v>
      </c>
      <c r="AQ221" s="25">
        <v>36</v>
      </c>
      <c r="AR221" s="25">
        <v>19</v>
      </c>
      <c r="AS221" s="25">
        <v>28</v>
      </c>
      <c r="AT221" s="25">
        <v>24</v>
      </c>
      <c r="AU221" s="25">
        <v>24</v>
      </c>
      <c r="AV221" s="25">
        <v>34</v>
      </c>
      <c r="AW221" s="25">
        <v>27</v>
      </c>
      <c r="AY221" s="31">
        <f t="shared" ref="AY221" si="131">IF(SUM(AU221:AW221)&gt;=0,AVERAGE(AU221:AW221),"")</f>
        <v>28.333333333333332</v>
      </c>
      <c r="AZ221" s="5">
        <f t="shared" si="126"/>
        <v>27.4</v>
      </c>
      <c r="BA221" s="5">
        <f>IF(SUM(AN221:AW221)&gt;=0,AVERAGE(AN221:AW221),"")</f>
        <v>24.5</v>
      </c>
      <c r="BB221" s="5"/>
      <c r="BC221" s="32">
        <f>(AW221-BA221)/BA221</f>
        <v>0.10204081632653061</v>
      </c>
    </row>
    <row r="222" spans="2:55" ht="11.25" customHeight="1">
      <c r="C222" s="1" t="s">
        <v>201</v>
      </c>
      <c r="D222" s="1" t="s">
        <v>202</v>
      </c>
      <c r="K222" s="25" t="s">
        <v>29</v>
      </c>
      <c r="L222" s="25" t="s">
        <v>29</v>
      </c>
      <c r="M222" s="25" t="s">
        <v>29</v>
      </c>
      <c r="N222" s="25" t="s">
        <v>29</v>
      </c>
      <c r="O222" s="25" t="s">
        <v>29</v>
      </c>
      <c r="P222" s="25" t="s">
        <v>29</v>
      </c>
      <c r="Q222" s="25" t="s">
        <v>29</v>
      </c>
      <c r="R222" s="25" t="s">
        <v>29</v>
      </c>
      <c r="S222" s="25" t="s">
        <v>29</v>
      </c>
      <c r="T222" s="25" t="s">
        <v>29</v>
      </c>
      <c r="U222" s="25" t="s">
        <v>29</v>
      </c>
      <c r="V222" s="25" t="s">
        <v>29</v>
      </c>
      <c r="W222" s="25"/>
      <c r="X222" s="25"/>
      <c r="Y222" s="25"/>
      <c r="Z222" s="25"/>
      <c r="AA222" s="25"/>
      <c r="AB222" s="25"/>
      <c r="AC222" s="25"/>
      <c r="AD222" s="25"/>
      <c r="AE222" s="1">
        <v>5</v>
      </c>
      <c r="AF222" s="1">
        <v>6</v>
      </c>
      <c r="AG222" s="1">
        <v>9</v>
      </c>
      <c r="AH222" s="1">
        <v>1</v>
      </c>
      <c r="AI222" s="1">
        <v>1</v>
      </c>
      <c r="AJ222" s="1">
        <v>3</v>
      </c>
      <c r="AK222" s="1">
        <v>1</v>
      </c>
      <c r="AL222" s="1">
        <v>2</v>
      </c>
      <c r="AM222" s="1">
        <v>5</v>
      </c>
      <c r="AN222" s="1">
        <v>7</v>
      </c>
      <c r="AO222" s="1">
        <v>0</v>
      </c>
      <c r="AP222" s="1">
        <v>2</v>
      </c>
      <c r="AQ222" s="1">
        <v>1</v>
      </c>
      <c r="AR222" s="1">
        <v>1</v>
      </c>
      <c r="AS222" s="1">
        <v>0</v>
      </c>
      <c r="AT222" s="1">
        <v>0</v>
      </c>
      <c r="AU222" s="1">
        <v>1</v>
      </c>
      <c r="AV222" s="1">
        <v>0</v>
      </c>
      <c r="AY222" s="31" t="s">
        <v>22</v>
      </c>
      <c r="AZ222" s="5" t="s">
        <v>22</v>
      </c>
      <c r="BA222" s="3" t="s">
        <v>22</v>
      </c>
      <c r="BC222" s="33"/>
    </row>
    <row r="223" spans="2:55" ht="11.25" customHeight="1">
      <c r="B223" s="52"/>
      <c r="C223" s="40" t="s">
        <v>392</v>
      </c>
      <c r="D223" s="40" t="s">
        <v>393</v>
      </c>
      <c r="E223" s="40"/>
      <c r="F223" s="40"/>
      <c r="G223" s="40"/>
      <c r="H223" s="40"/>
      <c r="I223" s="40"/>
      <c r="J223" s="40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>
        <v>5</v>
      </c>
      <c r="AX223" s="40"/>
      <c r="AY223" s="41" t="s">
        <v>22</v>
      </c>
      <c r="AZ223" s="42" t="s">
        <v>22</v>
      </c>
      <c r="BA223" s="45" t="s">
        <v>22</v>
      </c>
      <c r="BB223" s="40"/>
      <c r="BC223" s="46"/>
    </row>
    <row r="224" spans="2:55" ht="11.25" customHeight="1">
      <c r="B224" s="52"/>
      <c r="C224" s="40" t="s">
        <v>207</v>
      </c>
      <c r="D224" s="40" t="s">
        <v>208</v>
      </c>
      <c r="E224" s="40"/>
      <c r="F224" s="40"/>
      <c r="G224" s="40"/>
      <c r="H224" s="40"/>
      <c r="I224" s="40"/>
      <c r="J224" s="40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0"/>
      <c r="AF224" s="40">
        <v>0</v>
      </c>
      <c r="AG224" s="40">
        <v>0</v>
      </c>
      <c r="AH224" s="40">
        <v>0</v>
      </c>
      <c r="AI224" s="40">
        <v>0</v>
      </c>
      <c r="AJ224" s="40">
        <v>1</v>
      </c>
      <c r="AK224" s="40">
        <v>0</v>
      </c>
      <c r="AL224" s="40">
        <v>1</v>
      </c>
      <c r="AM224" s="40">
        <v>0</v>
      </c>
      <c r="AN224" s="40">
        <v>0</v>
      </c>
      <c r="AO224" s="40">
        <v>0</v>
      </c>
      <c r="AP224" s="40">
        <v>0</v>
      </c>
      <c r="AQ224" s="40">
        <v>1</v>
      </c>
      <c r="AR224" s="40">
        <v>2</v>
      </c>
      <c r="AS224" s="40">
        <v>0</v>
      </c>
      <c r="AT224" s="40">
        <v>0</v>
      </c>
      <c r="AU224" s="40">
        <v>0</v>
      </c>
      <c r="AV224" s="40">
        <v>0</v>
      </c>
      <c r="AW224" s="40">
        <v>1</v>
      </c>
      <c r="AX224" s="40"/>
      <c r="AY224" s="41">
        <f t="shared" ref="AY224" si="132">IF(SUM(AU224:AW224)&gt;=0,AVERAGE(AU224:AW224),"")</f>
        <v>0.33333333333333331</v>
      </c>
      <c r="AZ224" s="42">
        <f>IF(SUM(AS224:AW224)&gt;=0,AVERAGE(AS224:AW224),"")</f>
        <v>0.2</v>
      </c>
      <c r="BA224" s="42">
        <f>IF(SUM(AN224:AW224)&gt;=0,AVERAGE(AN224:AW224),"")</f>
        <v>0.4</v>
      </c>
      <c r="BB224" s="42"/>
      <c r="BC224" s="43">
        <f>(AW224-BA224)/BA224</f>
        <v>1.4999999999999998</v>
      </c>
    </row>
    <row r="225" spans="2:56" ht="11.25" customHeight="1">
      <c r="B225" s="52"/>
      <c r="C225" s="40" t="s">
        <v>209</v>
      </c>
      <c r="D225" s="40" t="s">
        <v>200</v>
      </c>
      <c r="E225" s="40"/>
      <c r="F225" s="40"/>
      <c r="G225" s="40"/>
      <c r="H225" s="40"/>
      <c r="I225" s="40"/>
      <c r="J225" s="40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0"/>
      <c r="AF225" s="40">
        <v>0</v>
      </c>
      <c r="AG225" s="40">
        <v>2</v>
      </c>
      <c r="AH225" s="40">
        <v>2</v>
      </c>
      <c r="AI225" s="40">
        <v>6</v>
      </c>
      <c r="AJ225" s="40">
        <v>17</v>
      </c>
      <c r="AK225" s="40">
        <v>9</v>
      </c>
      <c r="AL225" s="40">
        <v>6</v>
      </c>
      <c r="AM225" s="40">
        <v>13</v>
      </c>
      <c r="AN225" s="40">
        <v>8</v>
      </c>
      <c r="AO225" s="40">
        <v>9</v>
      </c>
      <c r="AP225" s="40">
        <v>7</v>
      </c>
      <c r="AQ225" s="40">
        <v>9</v>
      </c>
      <c r="AR225" s="40">
        <v>13</v>
      </c>
      <c r="AS225" s="40">
        <v>7</v>
      </c>
      <c r="AT225" s="40">
        <v>12</v>
      </c>
      <c r="AU225" s="40">
        <v>10</v>
      </c>
      <c r="AV225" s="40">
        <v>7</v>
      </c>
      <c r="AW225" s="40">
        <v>12</v>
      </c>
      <c r="AX225" s="40"/>
      <c r="AY225" s="41">
        <f t="shared" ref="AY225" si="133">IF(SUM(AU225:AW225)&gt;=0,AVERAGE(AU225:AW225),"")</f>
        <v>9.6666666666666661</v>
      </c>
      <c r="AZ225" s="42">
        <f>IF(SUM(AS225:AW225)&gt;=0,AVERAGE(AS225:AW225),"")</f>
        <v>9.6</v>
      </c>
      <c r="BA225" s="42">
        <f>IF(SUM(AN225:AW225)&gt;=0,AVERAGE(AN225:AW225),"")</f>
        <v>9.4</v>
      </c>
      <c r="BB225" s="42"/>
      <c r="BC225" s="43">
        <f>(AW225-BA225)/BA225</f>
        <v>0.27659574468085102</v>
      </c>
    </row>
    <row r="226" spans="2:56" ht="11.25" customHeight="1">
      <c r="B226" s="52"/>
      <c r="C226" s="40" t="s">
        <v>193</v>
      </c>
      <c r="D226" s="40" t="s">
        <v>194</v>
      </c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>
        <v>1</v>
      </c>
      <c r="AR226" s="40">
        <v>0</v>
      </c>
      <c r="AS226" s="40">
        <v>2</v>
      </c>
      <c r="AT226" s="1">
        <v>3</v>
      </c>
      <c r="AU226" s="1">
        <v>3</v>
      </c>
      <c r="AV226" s="1">
        <v>1</v>
      </c>
      <c r="AW226" s="1">
        <v>5</v>
      </c>
      <c r="AX226" s="25"/>
      <c r="AY226" s="31">
        <f t="shared" ref="AY226" si="134">IF(SUM(AU226:AW226)&gt;=0,AVERAGE(AU226:AW226),"")</f>
        <v>3</v>
      </c>
      <c r="AZ226" s="5">
        <f>IF(SUM(AS226:AW226)&gt;=0,AVERAGE(AS226:AW226),"")</f>
        <v>2.8</v>
      </c>
      <c r="BA226" s="3" t="s">
        <v>22</v>
      </c>
      <c r="BB226" s="40"/>
      <c r="BC226" s="40"/>
    </row>
    <row r="227" spans="2:56" ht="11.25" customHeight="1">
      <c r="B227" s="52"/>
      <c r="C227" s="40" t="s">
        <v>394</v>
      </c>
      <c r="D227" s="40" t="s">
        <v>395</v>
      </c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>
        <v>2</v>
      </c>
      <c r="AW227" s="40">
        <v>7</v>
      </c>
      <c r="AX227" s="40"/>
      <c r="AY227" s="41" t="s">
        <v>22</v>
      </c>
      <c r="AZ227" s="42" t="s">
        <v>22</v>
      </c>
      <c r="BA227" s="45" t="s">
        <v>22</v>
      </c>
      <c r="BB227" s="40"/>
      <c r="BC227" s="46"/>
    </row>
    <row r="228" spans="2:56" ht="11.25" customHeight="1">
      <c r="C228" s="1" t="s">
        <v>203</v>
      </c>
      <c r="D228" s="1" t="s">
        <v>204</v>
      </c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O228" s="1">
        <v>3</v>
      </c>
      <c r="AP228" s="1">
        <v>2</v>
      </c>
      <c r="AQ228" s="1">
        <v>1</v>
      </c>
      <c r="AR228" s="1">
        <v>2</v>
      </c>
      <c r="AS228" s="1">
        <v>2</v>
      </c>
      <c r="AT228" s="1">
        <v>5</v>
      </c>
      <c r="AU228" s="1">
        <v>3</v>
      </c>
      <c r="AV228" s="1">
        <v>3</v>
      </c>
      <c r="AW228" s="1">
        <v>2</v>
      </c>
      <c r="AX228" s="25"/>
      <c r="AY228" s="31">
        <f>IF(SUM(AU228:AW228)&gt;=0,AVERAGE(AU228:AW228),"")</f>
        <v>2.6666666666666665</v>
      </c>
      <c r="AZ228" s="5">
        <f>IF(SUM(AS228:AW228)&gt;=0,AVERAGE(AS228:AW228),"")</f>
        <v>3</v>
      </c>
      <c r="BA228" s="3" t="s">
        <v>22</v>
      </c>
      <c r="BB228" s="35"/>
    </row>
    <row r="229" spans="2:56" ht="11.25" customHeight="1">
      <c r="AY229" s="4"/>
      <c r="AZ229" s="4"/>
      <c r="BA229" s="4"/>
    </row>
    <row r="230" spans="2:56" ht="11.25" customHeight="1">
      <c r="B230" s="36" t="s">
        <v>158</v>
      </c>
      <c r="D230" s="27" t="s">
        <v>160</v>
      </c>
      <c r="E230" s="28">
        <f t="shared" ref="E230:AP230" si="135">E202+E206+E209+E210+E213+E221+E227</f>
        <v>189</v>
      </c>
      <c r="F230" s="28">
        <f t="shared" si="135"/>
        <v>209</v>
      </c>
      <c r="G230" s="28">
        <f t="shared" si="135"/>
        <v>177</v>
      </c>
      <c r="H230" s="28">
        <f t="shared" si="135"/>
        <v>176</v>
      </c>
      <c r="I230" s="28">
        <f t="shared" si="135"/>
        <v>193</v>
      </c>
      <c r="J230" s="28">
        <f t="shared" si="135"/>
        <v>150</v>
      </c>
      <c r="K230" s="28">
        <f t="shared" si="135"/>
        <v>112</v>
      </c>
      <c r="L230" s="28">
        <f t="shared" si="135"/>
        <v>131</v>
      </c>
      <c r="M230" s="28">
        <f t="shared" si="135"/>
        <v>163</v>
      </c>
      <c r="N230" s="28">
        <f t="shared" si="135"/>
        <v>143</v>
      </c>
      <c r="O230" s="28">
        <f t="shared" si="135"/>
        <v>195</v>
      </c>
      <c r="P230" s="28">
        <f t="shared" si="135"/>
        <v>226</v>
      </c>
      <c r="Q230" s="28">
        <f t="shared" si="135"/>
        <v>226</v>
      </c>
      <c r="R230" s="28">
        <f t="shared" si="135"/>
        <v>295</v>
      </c>
      <c r="S230" s="28">
        <f t="shared" si="135"/>
        <v>299</v>
      </c>
      <c r="T230" s="28">
        <f t="shared" si="135"/>
        <v>334</v>
      </c>
      <c r="U230" s="28">
        <f t="shared" si="135"/>
        <v>350</v>
      </c>
      <c r="V230" s="28">
        <f t="shared" si="135"/>
        <v>342</v>
      </c>
      <c r="W230" s="28">
        <f t="shared" si="135"/>
        <v>307</v>
      </c>
      <c r="X230" s="28">
        <f t="shared" si="135"/>
        <v>347</v>
      </c>
      <c r="Y230" s="28">
        <f t="shared" si="135"/>
        <v>336</v>
      </c>
      <c r="Z230" s="28">
        <f t="shared" si="135"/>
        <v>309</v>
      </c>
      <c r="AA230" s="28">
        <f t="shared" si="135"/>
        <v>289</v>
      </c>
      <c r="AB230" s="28">
        <f t="shared" si="135"/>
        <v>322</v>
      </c>
      <c r="AC230" s="28">
        <f t="shared" si="135"/>
        <v>306</v>
      </c>
      <c r="AD230" s="28">
        <f t="shared" si="135"/>
        <v>271</v>
      </c>
      <c r="AE230" s="28">
        <f t="shared" si="135"/>
        <v>289</v>
      </c>
      <c r="AF230" s="28">
        <f t="shared" si="135"/>
        <v>276</v>
      </c>
      <c r="AG230" s="28">
        <f t="shared" si="135"/>
        <v>247</v>
      </c>
      <c r="AH230" s="28">
        <f t="shared" si="135"/>
        <v>260</v>
      </c>
      <c r="AI230" s="28">
        <f t="shared" si="135"/>
        <v>230</v>
      </c>
      <c r="AJ230" s="28">
        <f t="shared" si="135"/>
        <v>271</v>
      </c>
      <c r="AK230" s="28">
        <f t="shared" si="135"/>
        <v>229</v>
      </c>
      <c r="AL230" s="28">
        <f t="shared" si="135"/>
        <v>256</v>
      </c>
      <c r="AM230" s="28">
        <f t="shared" si="135"/>
        <v>223</v>
      </c>
      <c r="AN230" s="28">
        <f t="shared" si="135"/>
        <v>234</v>
      </c>
      <c r="AO230" s="28">
        <f t="shared" si="135"/>
        <v>205</v>
      </c>
      <c r="AP230" s="28">
        <f t="shared" si="135"/>
        <v>198</v>
      </c>
      <c r="AQ230" s="28">
        <f t="shared" ref="AQ230:AS230" si="136">AQ202+AQ206+AQ209+AQ210+AQ213+AQ221+AQ227</f>
        <v>187</v>
      </c>
      <c r="AR230" s="28">
        <f>AR202+AR206+AR209+AR210+AR213+AR221+AR227</f>
        <v>212</v>
      </c>
      <c r="AS230" s="28">
        <f t="shared" si="136"/>
        <v>145</v>
      </c>
      <c r="AT230" s="28">
        <f>AT202+AT206+AT209+AT210+AT213+AT221+AT227</f>
        <v>145</v>
      </c>
      <c r="AU230" s="28">
        <f t="shared" ref="AU230:AW230" si="137">AU202+AU206+AU209+AU210+AU213+AU221+AU227</f>
        <v>149</v>
      </c>
      <c r="AV230" s="28">
        <f t="shared" si="137"/>
        <v>172</v>
      </c>
      <c r="AW230" s="28">
        <f t="shared" si="137"/>
        <v>170</v>
      </c>
      <c r="AX230" s="28"/>
      <c r="AY230" s="31">
        <f t="shared" ref="AY230:AY234" si="138">IF(SUM(AU230:AW230)&gt;=0,AVERAGE(AU230:AW230),"")</f>
        <v>163.66666666666666</v>
      </c>
      <c r="AZ230" s="5">
        <f t="shared" ref="AZ230:AZ234" si="139">IF(SUM(AS230:AW230)&gt;=0,AVERAGE(AS230:AW230),"")</f>
        <v>156.19999999999999</v>
      </c>
      <c r="BA230" s="5">
        <f t="shared" ref="BA230:BA234" si="140">IF(SUM(AN230:AW230)&gt;=0,AVERAGE(AN230:AW230),"")</f>
        <v>181.7</v>
      </c>
      <c r="BB230" s="5"/>
      <c r="BC230" s="32">
        <f t="shared" ref="BC230:BC234" si="141">(AW230-BA230)/BA230</f>
        <v>-6.4391854705558554E-2</v>
      </c>
    </row>
    <row r="231" spans="2:56" ht="11.25" customHeight="1">
      <c r="D231" s="27" t="s">
        <v>161</v>
      </c>
      <c r="E231" s="28">
        <f t="shared" ref="E231:AP231" si="142">E212+E215+E200+E201+E203+E208+E228+E226+E224+E223+E222+E218</f>
        <v>0</v>
      </c>
      <c r="F231" s="28">
        <f t="shared" si="142"/>
        <v>0</v>
      </c>
      <c r="G231" s="28">
        <f t="shared" si="142"/>
        <v>0</v>
      </c>
      <c r="H231" s="28">
        <f t="shared" si="142"/>
        <v>0</v>
      </c>
      <c r="I231" s="28">
        <f t="shared" si="142"/>
        <v>0</v>
      </c>
      <c r="J231" s="28">
        <f t="shared" si="142"/>
        <v>0</v>
      </c>
      <c r="K231" s="28">
        <f t="shared" si="142"/>
        <v>0</v>
      </c>
      <c r="L231" s="28">
        <f t="shared" si="142"/>
        <v>0</v>
      </c>
      <c r="M231" s="28">
        <f t="shared" si="142"/>
        <v>0</v>
      </c>
      <c r="N231" s="28">
        <f t="shared" si="142"/>
        <v>0</v>
      </c>
      <c r="O231" s="28">
        <f t="shared" si="142"/>
        <v>0</v>
      </c>
      <c r="P231" s="28">
        <f t="shared" si="142"/>
        <v>0</v>
      </c>
      <c r="Q231" s="28">
        <f t="shared" si="142"/>
        <v>0</v>
      </c>
      <c r="R231" s="28">
        <f t="shared" si="142"/>
        <v>0</v>
      </c>
      <c r="S231" s="28">
        <f t="shared" si="142"/>
        <v>0</v>
      </c>
      <c r="T231" s="28">
        <f t="shared" si="142"/>
        <v>0</v>
      </c>
      <c r="U231" s="28">
        <f t="shared" si="142"/>
        <v>0</v>
      </c>
      <c r="V231" s="28">
        <f t="shared" si="142"/>
        <v>0</v>
      </c>
      <c r="W231" s="28">
        <f t="shared" si="142"/>
        <v>0</v>
      </c>
      <c r="X231" s="28">
        <f t="shared" si="142"/>
        <v>0</v>
      </c>
      <c r="Y231" s="28">
        <f t="shared" si="142"/>
        <v>0</v>
      </c>
      <c r="Z231" s="28">
        <f t="shared" si="142"/>
        <v>0</v>
      </c>
      <c r="AA231" s="28">
        <f t="shared" si="142"/>
        <v>0</v>
      </c>
      <c r="AB231" s="28">
        <f t="shared" si="142"/>
        <v>0</v>
      </c>
      <c r="AC231" s="28">
        <f t="shared" si="142"/>
        <v>0</v>
      </c>
      <c r="AD231" s="28">
        <f t="shared" si="142"/>
        <v>0</v>
      </c>
      <c r="AE231" s="28">
        <f t="shared" si="142"/>
        <v>5</v>
      </c>
      <c r="AF231" s="28">
        <f t="shared" si="142"/>
        <v>6</v>
      </c>
      <c r="AG231" s="28">
        <f t="shared" si="142"/>
        <v>9</v>
      </c>
      <c r="AH231" s="28">
        <f t="shared" si="142"/>
        <v>1</v>
      </c>
      <c r="AI231" s="28">
        <f t="shared" si="142"/>
        <v>1</v>
      </c>
      <c r="AJ231" s="28">
        <f t="shared" si="142"/>
        <v>4</v>
      </c>
      <c r="AK231" s="28">
        <f t="shared" si="142"/>
        <v>5</v>
      </c>
      <c r="AL231" s="28">
        <f t="shared" si="142"/>
        <v>10</v>
      </c>
      <c r="AM231" s="28">
        <f t="shared" si="142"/>
        <v>21</v>
      </c>
      <c r="AN231" s="28">
        <f t="shared" si="142"/>
        <v>21</v>
      </c>
      <c r="AO231" s="28">
        <f t="shared" si="142"/>
        <v>25</v>
      </c>
      <c r="AP231" s="28">
        <f t="shared" si="142"/>
        <v>23</v>
      </c>
      <c r="AQ231" s="28">
        <f t="shared" ref="AQ231:AR231" si="143">AQ212+AQ215+AQ200+AQ201+AQ203+AQ208+AQ228+AQ226+AQ224+AQ223+AQ222+AQ218</f>
        <v>36</v>
      </c>
      <c r="AR231" s="28">
        <f t="shared" si="143"/>
        <v>38</v>
      </c>
      <c r="AS231" s="28">
        <f>AS212+AS215+AS200+AS201+AS203+AS208+AS228+AS226+AS224+AS223+AS222+AS218</f>
        <v>33</v>
      </c>
      <c r="AT231" s="28">
        <f>AT212+AT215+AT200+AT201+AT203+AT208+AT228+AT226+AT224+AT223+AT222+AT218</f>
        <v>36</v>
      </c>
      <c r="AU231" s="28">
        <f>AU212+AU215+AU200+AU201+AU203+AU208+AU228+AU226+AU224+AU223+AU222+AU218</f>
        <v>22</v>
      </c>
      <c r="AV231" s="28">
        <f t="shared" ref="AV231:AW231" si="144">AV212+AV215+AV200+AV201+AV203+AV208+AV228+AV226+AV224+AV223+AV222+AV218</f>
        <v>34</v>
      </c>
      <c r="AW231" s="28">
        <f t="shared" si="144"/>
        <v>24</v>
      </c>
      <c r="AX231" s="28"/>
      <c r="AY231" s="31">
        <f t="shared" si="138"/>
        <v>26.666666666666668</v>
      </c>
      <c r="AZ231" s="5">
        <f t="shared" si="139"/>
        <v>29.8</v>
      </c>
      <c r="BA231" s="5">
        <f t="shared" si="140"/>
        <v>29.2</v>
      </c>
      <c r="BB231" s="5"/>
      <c r="BC231" s="32">
        <f t="shared" si="141"/>
        <v>-0.17808219178082191</v>
      </c>
    </row>
    <row r="232" spans="2:56" ht="11.25" customHeight="1">
      <c r="D232" s="27" t="s">
        <v>162</v>
      </c>
      <c r="E232" s="28">
        <f>+E207+E211+E214+E220+E219+E217+E204</f>
        <v>231</v>
      </c>
      <c r="F232" s="28">
        <f t="shared" ref="F232:AP232" si="145">+F207+F211+F214+F220+F219+F217+F204</f>
        <v>239</v>
      </c>
      <c r="G232" s="28">
        <f t="shared" si="145"/>
        <v>223</v>
      </c>
      <c r="H232" s="28">
        <f t="shared" si="145"/>
        <v>230</v>
      </c>
      <c r="I232" s="28">
        <f t="shared" si="145"/>
        <v>215</v>
      </c>
      <c r="J232" s="28">
        <f t="shared" si="145"/>
        <v>182</v>
      </c>
      <c r="K232" s="28">
        <f t="shared" si="145"/>
        <v>170</v>
      </c>
      <c r="L232" s="28">
        <f t="shared" si="145"/>
        <v>209</v>
      </c>
      <c r="M232" s="28">
        <f t="shared" si="145"/>
        <v>157</v>
      </c>
      <c r="N232" s="28">
        <f t="shared" si="145"/>
        <v>206</v>
      </c>
      <c r="O232" s="28">
        <f t="shared" si="145"/>
        <v>201</v>
      </c>
      <c r="P232" s="28">
        <f t="shared" si="145"/>
        <v>264</v>
      </c>
      <c r="Q232" s="28">
        <f t="shared" si="145"/>
        <v>225</v>
      </c>
      <c r="R232" s="28">
        <f t="shared" si="145"/>
        <v>271</v>
      </c>
      <c r="S232" s="28">
        <f t="shared" si="145"/>
        <v>290</v>
      </c>
      <c r="T232" s="28">
        <f t="shared" si="145"/>
        <v>258</v>
      </c>
      <c r="U232" s="28">
        <f t="shared" si="145"/>
        <v>324</v>
      </c>
      <c r="V232" s="28">
        <f t="shared" si="145"/>
        <v>292</v>
      </c>
      <c r="W232" s="28">
        <f t="shared" si="145"/>
        <v>337</v>
      </c>
      <c r="X232" s="28">
        <f t="shared" si="145"/>
        <v>350</v>
      </c>
      <c r="Y232" s="28">
        <f t="shared" si="145"/>
        <v>298</v>
      </c>
      <c r="Z232" s="28">
        <f t="shared" si="145"/>
        <v>289</v>
      </c>
      <c r="AA232" s="28">
        <f t="shared" si="145"/>
        <v>236</v>
      </c>
      <c r="AB232" s="28">
        <f t="shared" si="145"/>
        <v>245</v>
      </c>
      <c r="AC232" s="28">
        <f t="shared" si="145"/>
        <v>227</v>
      </c>
      <c r="AD232" s="28">
        <f t="shared" si="145"/>
        <v>239</v>
      </c>
      <c r="AE232" s="28">
        <f t="shared" si="145"/>
        <v>267</v>
      </c>
      <c r="AF232" s="28">
        <f t="shared" si="145"/>
        <v>333</v>
      </c>
      <c r="AG232" s="28">
        <f t="shared" si="145"/>
        <v>302</v>
      </c>
      <c r="AH232" s="28">
        <f t="shared" si="145"/>
        <v>252</v>
      </c>
      <c r="AI232" s="28">
        <f t="shared" si="145"/>
        <v>255</v>
      </c>
      <c r="AJ232" s="28">
        <f t="shared" si="145"/>
        <v>262</v>
      </c>
      <c r="AK232" s="28">
        <f t="shared" si="145"/>
        <v>287</v>
      </c>
      <c r="AL232" s="28">
        <f t="shared" si="145"/>
        <v>340</v>
      </c>
      <c r="AM232" s="28">
        <f>+AM207+AM211+AM214+AM220+AM219+AM217+AM204</f>
        <v>301</v>
      </c>
      <c r="AN232" s="28">
        <f t="shared" si="145"/>
        <v>336</v>
      </c>
      <c r="AO232" s="28">
        <f t="shared" si="145"/>
        <v>370</v>
      </c>
      <c r="AP232" s="28">
        <f t="shared" si="145"/>
        <v>308</v>
      </c>
      <c r="AQ232" s="28">
        <f t="shared" ref="AQ232:AS232" si="146">+AQ207+AQ211+AQ214+AQ220+AQ219+AQ217+AQ204</f>
        <v>323</v>
      </c>
      <c r="AR232" s="28">
        <f t="shared" si="146"/>
        <v>282</v>
      </c>
      <c r="AS232" s="28">
        <f t="shared" si="146"/>
        <v>276</v>
      </c>
      <c r="AT232" s="28">
        <f>+AT207+AT211+AT214+AT220+AT219+AT217+AT204</f>
        <v>286</v>
      </c>
      <c r="AU232" s="28">
        <f t="shared" ref="AU232:AW232" si="147">+AU207+AU211+AU214+AU220+AU219+AU217+AU204</f>
        <v>271</v>
      </c>
      <c r="AV232" s="28">
        <f t="shared" si="147"/>
        <v>298</v>
      </c>
      <c r="AW232" s="28">
        <f t="shared" si="147"/>
        <v>265</v>
      </c>
      <c r="AX232" s="28"/>
      <c r="AY232" s="31">
        <f t="shared" si="138"/>
        <v>278</v>
      </c>
      <c r="AZ232" s="5">
        <f t="shared" si="139"/>
        <v>279.2</v>
      </c>
      <c r="BA232" s="5">
        <f t="shared" si="140"/>
        <v>301.5</v>
      </c>
      <c r="BB232" s="5"/>
      <c r="BC232" s="32">
        <f t="shared" si="141"/>
        <v>-0.12106135986733002</v>
      </c>
    </row>
    <row r="233" spans="2:56" ht="11.25" customHeight="1">
      <c r="D233" s="1" t="s">
        <v>228</v>
      </c>
      <c r="E233" s="28">
        <f t="shared" ref="E233:AP233" si="148">SUM(E225,E205)</f>
        <v>0</v>
      </c>
      <c r="F233" s="28">
        <f t="shared" si="148"/>
        <v>0</v>
      </c>
      <c r="G233" s="28">
        <f t="shared" si="148"/>
        <v>0</v>
      </c>
      <c r="H233" s="28">
        <f t="shared" si="148"/>
        <v>0</v>
      </c>
      <c r="I233" s="28">
        <f t="shared" si="148"/>
        <v>0</v>
      </c>
      <c r="J233" s="28">
        <f t="shared" si="148"/>
        <v>0</v>
      </c>
      <c r="K233" s="28">
        <f t="shared" si="148"/>
        <v>0</v>
      </c>
      <c r="L233" s="28">
        <f t="shared" si="148"/>
        <v>0</v>
      </c>
      <c r="M233" s="28">
        <f t="shared" si="148"/>
        <v>0</v>
      </c>
      <c r="N233" s="28">
        <f t="shared" si="148"/>
        <v>0</v>
      </c>
      <c r="O233" s="28">
        <f t="shared" si="148"/>
        <v>0</v>
      </c>
      <c r="P233" s="28">
        <f t="shared" si="148"/>
        <v>0</v>
      </c>
      <c r="Q233" s="28">
        <f t="shared" si="148"/>
        <v>0</v>
      </c>
      <c r="R233" s="28">
        <f t="shared" si="148"/>
        <v>0</v>
      </c>
      <c r="S233" s="28">
        <f t="shared" si="148"/>
        <v>0</v>
      </c>
      <c r="T233" s="28">
        <f t="shared" si="148"/>
        <v>0</v>
      </c>
      <c r="U233" s="28">
        <f t="shared" si="148"/>
        <v>0</v>
      </c>
      <c r="V233" s="28">
        <f t="shared" si="148"/>
        <v>0</v>
      </c>
      <c r="W233" s="28">
        <f t="shared" si="148"/>
        <v>0</v>
      </c>
      <c r="X233" s="28">
        <f t="shared" si="148"/>
        <v>0</v>
      </c>
      <c r="Y233" s="28">
        <f t="shared" si="148"/>
        <v>0</v>
      </c>
      <c r="Z233" s="28">
        <f t="shared" si="148"/>
        <v>0</v>
      </c>
      <c r="AA233" s="28">
        <f t="shared" si="148"/>
        <v>0</v>
      </c>
      <c r="AB233" s="28">
        <f t="shared" si="148"/>
        <v>0</v>
      </c>
      <c r="AC233" s="28">
        <f t="shared" si="148"/>
        <v>0</v>
      </c>
      <c r="AD233" s="28">
        <f t="shared" si="148"/>
        <v>0</v>
      </c>
      <c r="AE233" s="28">
        <f t="shared" si="148"/>
        <v>0</v>
      </c>
      <c r="AF233" s="28">
        <f t="shared" si="148"/>
        <v>3</v>
      </c>
      <c r="AG233" s="28">
        <f t="shared" si="148"/>
        <v>29</v>
      </c>
      <c r="AH233" s="28">
        <f t="shared" si="148"/>
        <v>31</v>
      </c>
      <c r="AI233" s="28">
        <f t="shared" si="148"/>
        <v>28</v>
      </c>
      <c r="AJ233" s="28">
        <f t="shared" si="148"/>
        <v>42</v>
      </c>
      <c r="AK233" s="28">
        <f t="shared" si="148"/>
        <v>31</v>
      </c>
      <c r="AL233" s="28">
        <f t="shared" si="148"/>
        <v>22</v>
      </c>
      <c r="AM233" s="28">
        <f t="shared" si="148"/>
        <v>26</v>
      </c>
      <c r="AN233" s="28">
        <f t="shared" si="148"/>
        <v>28</v>
      </c>
      <c r="AO233" s="28">
        <f t="shared" si="148"/>
        <v>13</v>
      </c>
      <c r="AP233" s="28">
        <f t="shared" si="148"/>
        <v>14</v>
      </c>
      <c r="AQ233" s="28">
        <f t="shared" ref="AQ233:AS233" si="149">SUM(AQ225,AQ205)</f>
        <v>17</v>
      </c>
      <c r="AR233" s="28">
        <f t="shared" si="149"/>
        <v>17</v>
      </c>
      <c r="AS233" s="28">
        <f t="shared" si="149"/>
        <v>9</v>
      </c>
      <c r="AT233" s="28">
        <f>SUM(AT225,AT205)</f>
        <v>23</v>
      </c>
      <c r="AU233" s="28">
        <f t="shared" ref="AU233:AW233" si="150">SUM(AU225,AU205)</f>
        <v>19</v>
      </c>
      <c r="AV233" s="28">
        <f t="shared" si="150"/>
        <v>23</v>
      </c>
      <c r="AW233" s="28">
        <f t="shared" si="150"/>
        <v>31</v>
      </c>
      <c r="AX233" s="28"/>
      <c r="AY233" s="31">
        <f t="shared" si="138"/>
        <v>24.333333333333332</v>
      </c>
      <c r="AZ233" s="5">
        <f t="shared" si="139"/>
        <v>21</v>
      </c>
      <c r="BA233" s="5">
        <f t="shared" si="140"/>
        <v>19.399999999999999</v>
      </c>
      <c r="BB233" s="5"/>
      <c r="BC233" s="32">
        <f t="shared" si="141"/>
        <v>0.597938144329897</v>
      </c>
    </row>
    <row r="234" spans="2:56" ht="11.25" customHeight="1">
      <c r="D234" s="27" t="s">
        <v>163</v>
      </c>
      <c r="E234" s="28">
        <f t="shared" ref="E234:AT234" si="151">E197</f>
        <v>0</v>
      </c>
      <c r="F234" s="28">
        <f t="shared" si="151"/>
        <v>3</v>
      </c>
      <c r="G234" s="28">
        <f t="shared" si="151"/>
        <v>1</v>
      </c>
      <c r="H234" s="28">
        <f t="shared" si="151"/>
        <v>3</v>
      </c>
      <c r="I234" s="28">
        <f t="shared" si="151"/>
        <v>2</v>
      </c>
      <c r="J234" s="28">
        <f t="shared" si="151"/>
        <v>4</v>
      </c>
      <c r="K234" s="28">
        <f t="shared" si="151"/>
        <v>4</v>
      </c>
      <c r="L234" s="28">
        <f t="shared" si="151"/>
        <v>2</v>
      </c>
      <c r="M234" s="28">
        <f t="shared" si="151"/>
        <v>5</v>
      </c>
      <c r="N234" s="28">
        <f t="shared" si="151"/>
        <v>5</v>
      </c>
      <c r="O234" s="28">
        <f t="shared" si="151"/>
        <v>6</v>
      </c>
      <c r="P234" s="28">
        <f t="shared" si="151"/>
        <v>8</v>
      </c>
      <c r="Q234" s="28">
        <f t="shared" si="151"/>
        <v>9</v>
      </c>
      <c r="R234" s="28">
        <f t="shared" si="151"/>
        <v>14</v>
      </c>
      <c r="S234" s="28">
        <f t="shared" si="151"/>
        <v>7</v>
      </c>
      <c r="T234" s="28">
        <f t="shared" si="151"/>
        <v>5</v>
      </c>
      <c r="U234" s="28">
        <f t="shared" si="151"/>
        <v>8</v>
      </c>
      <c r="V234" s="28">
        <f t="shared" si="151"/>
        <v>6</v>
      </c>
      <c r="W234" s="28">
        <f t="shared" si="151"/>
        <v>10</v>
      </c>
      <c r="X234" s="28">
        <f t="shared" si="151"/>
        <v>7</v>
      </c>
      <c r="Y234" s="28">
        <f t="shared" si="151"/>
        <v>9</v>
      </c>
      <c r="Z234" s="28">
        <f t="shared" si="151"/>
        <v>6</v>
      </c>
      <c r="AA234" s="28">
        <f t="shared" si="151"/>
        <v>6</v>
      </c>
      <c r="AB234" s="28">
        <f t="shared" si="151"/>
        <v>8</v>
      </c>
      <c r="AC234" s="28">
        <f t="shared" si="151"/>
        <v>13</v>
      </c>
      <c r="AD234" s="28">
        <f t="shared" si="151"/>
        <v>20</v>
      </c>
      <c r="AE234" s="28">
        <f t="shared" si="151"/>
        <v>15</v>
      </c>
      <c r="AF234" s="28">
        <f t="shared" si="151"/>
        <v>21</v>
      </c>
      <c r="AG234" s="28">
        <f t="shared" si="151"/>
        <v>24</v>
      </c>
      <c r="AH234" s="28">
        <f t="shared" si="151"/>
        <v>18</v>
      </c>
      <c r="AI234" s="28">
        <f t="shared" si="151"/>
        <v>27</v>
      </c>
      <c r="AJ234" s="28">
        <f t="shared" si="151"/>
        <v>27</v>
      </c>
      <c r="AK234" s="28">
        <f t="shared" si="151"/>
        <v>24</v>
      </c>
      <c r="AL234" s="28">
        <f t="shared" si="151"/>
        <v>21</v>
      </c>
      <c r="AM234" s="28">
        <f t="shared" si="151"/>
        <v>33</v>
      </c>
      <c r="AN234" s="28">
        <f t="shared" si="151"/>
        <v>24</v>
      </c>
      <c r="AO234" s="28">
        <f t="shared" si="151"/>
        <v>21</v>
      </c>
      <c r="AP234" s="28">
        <f t="shared" si="151"/>
        <v>34</v>
      </c>
      <c r="AQ234" s="28">
        <f t="shared" si="151"/>
        <v>38</v>
      </c>
      <c r="AR234" s="28">
        <f t="shared" si="151"/>
        <v>62</v>
      </c>
      <c r="AS234" s="28">
        <f t="shared" si="151"/>
        <v>42</v>
      </c>
      <c r="AT234" s="28">
        <f t="shared" si="151"/>
        <v>37</v>
      </c>
      <c r="AU234" s="28">
        <f>SUM(AU197)</f>
        <v>61</v>
      </c>
      <c r="AV234" s="28">
        <f>SUM(AV197)</f>
        <v>45</v>
      </c>
      <c r="AW234" s="28">
        <f>SUM(AW197)</f>
        <v>54</v>
      </c>
      <c r="AX234" s="28"/>
      <c r="AY234" s="31">
        <f t="shared" si="138"/>
        <v>53.333333333333336</v>
      </c>
      <c r="AZ234" s="5">
        <f t="shared" si="139"/>
        <v>47.8</v>
      </c>
      <c r="BA234" s="5">
        <f t="shared" si="140"/>
        <v>41.8</v>
      </c>
      <c r="BB234" s="5"/>
      <c r="BC234" s="32">
        <f t="shared" si="141"/>
        <v>0.29186602870813405</v>
      </c>
    </row>
    <row r="235" spans="2:56" ht="11.25" customHeight="1">
      <c r="AY235" s="32"/>
      <c r="AZ235" s="4"/>
      <c r="BA235" s="4"/>
      <c r="BB235" s="35"/>
    </row>
    <row r="236" spans="2:56" ht="11.25" customHeight="1">
      <c r="B236" s="36" t="s">
        <v>229</v>
      </c>
      <c r="D236" s="1" t="s">
        <v>165</v>
      </c>
      <c r="E236" s="28">
        <f t="shared" ref="E236:AP236" si="152">SUM(E230:E234)</f>
        <v>420</v>
      </c>
      <c r="F236" s="28">
        <f t="shared" si="152"/>
        <v>451</v>
      </c>
      <c r="G236" s="28">
        <f t="shared" si="152"/>
        <v>401</v>
      </c>
      <c r="H236" s="28">
        <f t="shared" si="152"/>
        <v>409</v>
      </c>
      <c r="I236" s="28">
        <f t="shared" si="152"/>
        <v>410</v>
      </c>
      <c r="J236" s="28">
        <f t="shared" si="152"/>
        <v>336</v>
      </c>
      <c r="K236" s="28">
        <f t="shared" si="152"/>
        <v>286</v>
      </c>
      <c r="L236" s="28">
        <f t="shared" si="152"/>
        <v>342</v>
      </c>
      <c r="M236" s="28">
        <f t="shared" si="152"/>
        <v>325</v>
      </c>
      <c r="N236" s="28">
        <f t="shared" si="152"/>
        <v>354</v>
      </c>
      <c r="O236" s="28">
        <f t="shared" si="152"/>
        <v>402</v>
      </c>
      <c r="P236" s="28">
        <f t="shared" si="152"/>
        <v>498</v>
      </c>
      <c r="Q236" s="28">
        <f t="shared" si="152"/>
        <v>460</v>
      </c>
      <c r="R236" s="28">
        <f t="shared" si="152"/>
        <v>580</v>
      </c>
      <c r="S236" s="28">
        <f t="shared" si="152"/>
        <v>596</v>
      </c>
      <c r="T236" s="28">
        <f t="shared" si="152"/>
        <v>597</v>
      </c>
      <c r="U236" s="28">
        <f t="shared" si="152"/>
        <v>682</v>
      </c>
      <c r="V236" s="28">
        <f t="shared" si="152"/>
        <v>640</v>
      </c>
      <c r="W236" s="28">
        <f t="shared" si="152"/>
        <v>654</v>
      </c>
      <c r="X236" s="28">
        <f t="shared" si="152"/>
        <v>704</v>
      </c>
      <c r="Y236" s="28">
        <f t="shared" si="152"/>
        <v>643</v>
      </c>
      <c r="Z236" s="28">
        <f t="shared" si="152"/>
        <v>604</v>
      </c>
      <c r="AA236" s="28">
        <f t="shared" si="152"/>
        <v>531</v>
      </c>
      <c r="AB236" s="28">
        <f t="shared" si="152"/>
        <v>575</v>
      </c>
      <c r="AC236" s="28">
        <f t="shared" si="152"/>
        <v>546</v>
      </c>
      <c r="AD236" s="28">
        <f t="shared" si="152"/>
        <v>530</v>
      </c>
      <c r="AE236" s="28">
        <f t="shared" si="152"/>
        <v>576</v>
      </c>
      <c r="AF236" s="28">
        <f t="shared" si="152"/>
        <v>639</v>
      </c>
      <c r="AG236" s="28">
        <f t="shared" si="152"/>
        <v>611</v>
      </c>
      <c r="AH236" s="28">
        <f t="shared" si="152"/>
        <v>562</v>
      </c>
      <c r="AI236" s="28">
        <f t="shared" si="152"/>
        <v>541</v>
      </c>
      <c r="AJ236" s="28">
        <f t="shared" si="152"/>
        <v>606</v>
      </c>
      <c r="AK236" s="28">
        <f t="shared" si="152"/>
        <v>576</v>
      </c>
      <c r="AL236" s="28">
        <f t="shared" si="152"/>
        <v>649</v>
      </c>
      <c r="AM236" s="28">
        <f t="shared" si="152"/>
        <v>604</v>
      </c>
      <c r="AN236" s="28">
        <f t="shared" si="152"/>
        <v>643</v>
      </c>
      <c r="AO236" s="28">
        <f t="shared" si="152"/>
        <v>634</v>
      </c>
      <c r="AP236" s="28">
        <f t="shared" si="152"/>
        <v>577</v>
      </c>
      <c r="AQ236" s="28">
        <f t="shared" ref="AQ236:AR236" si="153">SUM(AQ230:AQ234)</f>
        <v>601</v>
      </c>
      <c r="AR236" s="28">
        <f t="shared" si="153"/>
        <v>611</v>
      </c>
      <c r="AS236" s="28">
        <f t="shared" ref="AS236:AW236" si="154">SUM(AS230:AS234)</f>
        <v>505</v>
      </c>
      <c r="AT236" s="28">
        <f t="shared" si="154"/>
        <v>527</v>
      </c>
      <c r="AU236" s="28">
        <f t="shared" si="154"/>
        <v>522</v>
      </c>
      <c r="AV236" s="28">
        <f t="shared" si="154"/>
        <v>572</v>
      </c>
      <c r="AW236" s="28">
        <f t="shared" si="154"/>
        <v>544</v>
      </c>
      <c r="AX236" s="28"/>
      <c r="AY236" s="31">
        <f>IF(SUM(AU236:AW236)&gt;=0,AVERAGE(AU236:AW236),"")</f>
        <v>546</v>
      </c>
      <c r="AZ236" s="5">
        <f>IF(SUM(AS236:AW236)&gt;=0,AVERAGE(AS236:AW236),"")</f>
        <v>534</v>
      </c>
      <c r="BA236" s="5">
        <f>IF(SUM(AN236:AW236)&gt;=0,AVERAGE(AN236:AW236),"")</f>
        <v>573.6</v>
      </c>
      <c r="BB236" s="5"/>
      <c r="BC236" s="32">
        <f>(AW236-BA236)/BA236</f>
        <v>-5.1603905160390554E-2</v>
      </c>
    </row>
    <row r="237" spans="2:56" ht="11.25" customHeight="1"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4" t="str">
        <f>IF(AA237&gt;0,IF(AA237&gt;9,(AA237-Z237)/Z237,"&lt;10 cases"),"")</f>
        <v/>
      </c>
      <c r="AZ237" s="4" t="str">
        <f>IF(AA237&gt;0,IF(AA237&gt;9,(AA237-(SUM(V237:Z237)/5))/AA237,"&lt;10 cases"),"")</f>
        <v/>
      </c>
      <c r="BA237" s="4" t="str">
        <f>IF(AA237&gt;0,IF(AA237&gt;9,(AA237-SUM(Q237:Z237)/10)/AA237,"&lt;10 cases"),"")</f>
        <v/>
      </c>
    </row>
    <row r="238" spans="2:56" ht="11.25" customHeight="1">
      <c r="AY238" s="4"/>
      <c r="AZ238" s="4"/>
      <c r="BA238" s="4"/>
    </row>
    <row r="239" spans="2:56" ht="21.75" customHeight="1">
      <c r="B239" s="50" t="s">
        <v>230</v>
      </c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20"/>
      <c r="BC239" s="20"/>
      <c r="BD239" s="20"/>
    </row>
    <row r="240" spans="2:56" ht="11.25" customHeight="1">
      <c r="B240" s="51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</row>
    <row r="241" spans="2:55" ht="11.25" hidden="1" customHeight="1">
      <c r="B241" s="36" t="s">
        <v>231</v>
      </c>
      <c r="C241" s="1" t="s">
        <v>232</v>
      </c>
      <c r="D241" s="1" t="s">
        <v>233</v>
      </c>
      <c r="I241" s="25" t="s">
        <v>29</v>
      </c>
      <c r="J241" s="25" t="s">
        <v>29</v>
      </c>
      <c r="K241" s="25" t="s">
        <v>29</v>
      </c>
      <c r="L241" s="25" t="s">
        <v>29</v>
      </c>
      <c r="M241" s="25" t="s">
        <v>29</v>
      </c>
      <c r="N241" s="25" t="s">
        <v>29</v>
      </c>
      <c r="O241" s="25" t="s">
        <v>29</v>
      </c>
      <c r="P241" s="25" t="s">
        <v>29</v>
      </c>
      <c r="Q241" s="25" t="s">
        <v>29</v>
      </c>
      <c r="R241" s="25" t="s">
        <v>29</v>
      </c>
      <c r="S241" s="25" t="s">
        <v>29</v>
      </c>
      <c r="T241" s="25" t="s">
        <v>29</v>
      </c>
      <c r="U241" s="25" t="s">
        <v>29</v>
      </c>
      <c r="V241" s="25" t="s">
        <v>29</v>
      </c>
      <c r="W241" s="25"/>
      <c r="X241" s="25"/>
      <c r="Y241" s="25"/>
      <c r="Z241" s="1">
        <v>3</v>
      </c>
      <c r="AA241" s="1">
        <v>5</v>
      </c>
      <c r="AB241" s="1">
        <v>5</v>
      </c>
      <c r="AC241" s="1">
        <v>4</v>
      </c>
      <c r="AD241" s="1">
        <v>4</v>
      </c>
      <c r="AE241" s="1">
        <v>2</v>
      </c>
      <c r="AF241" s="1">
        <v>1</v>
      </c>
      <c r="AG241" s="1">
        <v>0</v>
      </c>
      <c r="AH241" s="1">
        <v>1</v>
      </c>
      <c r="AI241" s="1">
        <v>1</v>
      </c>
      <c r="AY241" s="3" t="s">
        <v>22</v>
      </c>
      <c r="AZ241" s="3" t="s">
        <v>22</v>
      </c>
      <c r="BA241" s="3" t="s">
        <v>22</v>
      </c>
    </row>
    <row r="242" spans="2:55" ht="11.25" customHeight="1">
      <c r="B242" s="36" t="s">
        <v>231</v>
      </c>
      <c r="C242" s="1" t="s">
        <v>234</v>
      </c>
      <c r="D242" s="1" t="s">
        <v>235</v>
      </c>
      <c r="H242" s="1">
        <v>0</v>
      </c>
      <c r="I242" s="1">
        <v>0</v>
      </c>
      <c r="J242" s="1">
        <v>9</v>
      </c>
      <c r="K242" s="1">
        <v>19</v>
      </c>
      <c r="L242" s="1">
        <v>22</v>
      </c>
      <c r="M242" s="1">
        <v>37</v>
      </c>
      <c r="N242" s="1">
        <v>49</v>
      </c>
      <c r="O242" s="1">
        <v>65</v>
      </c>
      <c r="P242" s="1">
        <v>62</v>
      </c>
      <c r="Q242" s="1">
        <v>71</v>
      </c>
      <c r="R242" s="1">
        <v>75</v>
      </c>
      <c r="S242" s="1">
        <v>85</v>
      </c>
      <c r="T242" s="1">
        <v>39</v>
      </c>
      <c r="U242" s="1">
        <v>41</v>
      </c>
      <c r="V242" s="1">
        <v>120</v>
      </c>
      <c r="W242" s="1">
        <v>140</v>
      </c>
      <c r="X242" s="1">
        <v>148</v>
      </c>
      <c r="Y242" s="1">
        <v>144</v>
      </c>
      <c r="Z242" s="1">
        <v>140</v>
      </c>
      <c r="AA242" s="1">
        <v>112</v>
      </c>
      <c r="AB242" s="1">
        <v>89</v>
      </c>
      <c r="AC242" s="1">
        <v>106</v>
      </c>
      <c r="AD242" s="1">
        <v>111</v>
      </c>
      <c r="AE242" s="1">
        <v>121</v>
      </c>
      <c r="AF242" s="1">
        <v>151</v>
      </c>
      <c r="AG242" s="1">
        <v>160</v>
      </c>
      <c r="AH242" s="1">
        <v>162</v>
      </c>
      <c r="AI242" s="1">
        <v>185</v>
      </c>
      <c r="AJ242" s="1">
        <v>181</v>
      </c>
      <c r="AK242" s="1">
        <v>200</v>
      </c>
      <c r="AL242" s="1">
        <v>201</v>
      </c>
      <c r="AM242" s="1">
        <v>206</v>
      </c>
      <c r="AN242" s="1">
        <v>224</v>
      </c>
      <c r="AO242" s="1">
        <f>70+176</f>
        <v>246</v>
      </c>
      <c r="AP242" s="1">
        <v>284</v>
      </c>
      <c r="AQ242" s="1">
        <v>253</v>
      </c>
      <c r="AR242" s="1">
        <v>250</v>
      </c>
      <c r="AS242" s="1">
        <v>237</v>
      </c>
      <c r="AT242" s="1">
        <v>194</v>
      </c>
      <c r="AU242" s="1">
        <v>197</v>
      </c>
      <c r="AV242" s="1">
        <v>205</v>
      </c>
      <c r="AW242" s="1">
        <v>191</v>
      </c>
      <c r="AY242" s="31">
        <f>IF(SUM(AU242:AW242)&gt;=0,AVERAGE(AU242:AW242),"")</f>
        <v>197.66666666666666</v>
      </c>
      <c r="AZ242" s="5">
        <f>IF(SUM(AS242:AW242)&gt;=0,AVERAGE(AS242:AW242),"")</f>
        <v>204.8</v>
      </c>
      <c r="BA242" s="5">
        <f>IF(SUM(AN242:AW242)&gt;=0,AVERAGE(AN242:AW242),"")</f>
        <v>228.1</v>
      </c>
      <c r="BB242" s="5"/>
      <c r="BC242" s="32">
        <f>(AW242-BA242)/BA242</f>
        <v>-0.16264796142042962</v>
      </c>
    </row>
    <row r="243" spans="2:55" ht="11.25" customHeight="1">
      <c r="C243" s="1" t="s">
        <v>236</v>
      </c>
      <c r="D243" s="1" t="s">
        <v>237</v>
      </c>
      <c r="I243" s="25" t="s">
        <v>29</v>
      </c>
      <c r="J243" s="25" t="s">
        <v>29</v>
      </c>
      <c r="K243" s="25" t="s">
        <v>29</v>
      </c>
      <c r="L243" s="25" t="s">
        <v>29</v>
      </c>
      <c r="M243" s="25" t="s">
        <v>29</v>
      </c>
      <c r="N243" s="25" t="s">
        <v>29</v>
      </c>
      <c r="O243" s="25" t="s">
        <v>29</v>
      </c>
      <c r="P243" s="25" t="s">
        <v>29</v>
      </c>
      <c r="Q243" s="1">
        <v>0</v>
      </c>
      <c r="R243" s="1">
        <v>0</v>
      </c>
      <c r="S243" s="1">
        <v>0</v>
      </c>
      <c r="T243" s="1">
        <v>0</v>
      </c>
      <c r="U243" s="1">
        <v>10</v>
      </c>
      <c r="V243" s="1">
        <v>17</v>
      </c>
      <c r="W243" s="1">
        <v>39</v>
      </c>
      <c r="X243" s="1">
        <v>106</v>
      </c>
      <c r="Y243" s="1">
        <v>46</v>
      </c>
      <c r="Z243" s="1">
        <v>94</v>
      </c>
      <c r="AA243" s="1">
        <v>66</v>
      </c>
      <c r="AB243" s="1">
        <v>30</v>
      </c>
      <c r="AC243" s="1">
        <v>88</v>
      </c>
      <c r="AD243" s="1">
        <v>34</v>
      </c>
      <c r="AE243" s="1">
        <v>64</v>
      </c>
      <c r="AF243" s="1">
        <v>60</v>
      </c>
      <c r="AG243" s="1">
        <v>46</v>
      </c>
      <c r="AH243" s="1">
        <v>48</v>
      </c>
      <c r="AI243" s="1">
        <v>51</v>
      </c>
      <c r="AJ243" s="1">
        <v>43</v>
      </c>
      <c r="AK243" s="1">
        <v>41</v>
      </c>
      <c r="AL243" s="1">
        <v>72</v>
      </c>
      <c r="AM243" s="1">
        <v>63</v>
      </c>
      <c r="AN243" s="1">
        <v>79</v>
      </c>
      <c r="AO243" s="1">
        <v>52</v>
      </c>
      <c r="AP243" s="1">
        <v>55</v>
      </c>
      <c r="AQ243" s="1">
        <v>53</v>
      </c>
      <c r="AR243" s="1">
        <v>67</v>
      </c>
      <c r="AS243" s="1">
        <v>89</v>
      </c>
      <c r="AT243" s="1">
        <v>3</v>
      </c>
      <c r="AU243" s="1">
        <v>1</v>
      </c>
      <c r="AV243" s="1">
        <v>3</v>
      </c>
      <c r="AY243" s="34" t="s">
        <v>22</v>
      </c>
      <c r="AZ243" s="3" t="s">
        <v>22</v>
      </c>
      <c r="BA243" s="3" t="s">
        <v>22</v>
      </c>
      <c r="BC243" s="33"/>
    </row>
    <row r="244" spans="2:55" ht="11.25" customHeight="1">
      <c r="D244" s="1" t="s">
        <v>238</v>
      </c>
      <c r="I244" s="25"/>
      <c r="J244" s="25"/>
      <c r="K244" s="25"/>
      <c r="L244" s="25"/>
      <c r="M244" s="25"/>
      <c r="N244" s="25"/>
      <c r="O244" s="25"/>
      <c r="P244" s="25"/>
      <c r="AJ244" s="1">
        <v>0</v>
      </c>
      <c r="AK244" s="1">
        <v>0</v>
      </c>
      <c r="AL244" s="1">
        <v>0</v>
      </c>
      <c r="AM244" s="1">
        <v>4</v>
      </c>
      <c r="AN244" s="1">
        <v>6</v>
      </c>
      <c r="AO244" s="1">
        <v>4</v>
      </c>
      <c r="AP244" s="1">
        <v>7</v>
      </c>
      <c r="AQ244" s="1">
        <v>2</v>
      </c>
      <c r="AR244" s="1">
        <v>6</v>
      </c>
      <c r="AS244" s="1">
        <v>3</v>
      </c>
      <c r="AT244" s="1">
        <v>20</v>
      </c>
      <c r="AU244" s="1">
        <v>29</v>
      </c>
      <c r="AV244" s="1">
        <v>35</v>
      </c>
      <c r="AW244" s="1">
        <v>42</v>
      </c>
      <c r="AX244" s="25"/>
      <c r="AY244" s="31">
        <f>IF(SUM(AU244:AW244)&gt;=0,AVERAGE(AU244:AW244),"")</f>
        <v>35.333333333333336</v>
      </c>
      <c r="AZ244" s="5">
        <f t="shared" ref="AZ244:AZ253" si="155">IF(SUM(AS244:AW244)&gt;=0,AVERAGE(AS244:AW244),"")</f>
        <v>25.8</v>
      </c>
      <c r="BA244" s="5">
        <f t="shared" ref="BA244:BA251" si="156">IF(SUM(AN244:AW244)&gt;=0,AVERAGE(AN244:AW244),"")</f>
        <v>15.4</v>
      </c>
      <c r="BB244" s="5"/>
      <c r="BC244" s="32">
        <f t="shared" ref="BC244:BC251" si="157">(AW244-BA244)/BA244</f>
        <v>1.7272727272727273</v>
      </c>
    </row>
    <row r="245" spans="2:55" ht="11.25" customHeight="1">
      <c r="D245" s="1" t="s">
        <v>239</v>
      </c>
      <c r="I245" s="25" t="s">
        <v>29</v>
      </c>
      <c r="J245" s="25" t="s">
        <v>29</v>
      </c>
      <c r="K245" s="25" t="s">
        <v>29</v>
      </c>
      <c r="L245" s="25" t="s">
        <v>29</v>
      </c>
      <c r="M245" s="25" t="s">
        <v>29</v>
      </c>
      <c r="N245" s="25" t="s">
        <v>29</v>
      </c>
      <c r="O245" s="25" t="s">
        <v>29</v>
      </c>
      <c r="P245" s="25" t="s">
        <v>29</v>
      </c>
      <c r="Q245" s="25" t="s">
        <v>29</v>
      </c>
      <c r="R245" s="25" t="s">
        <v>29</v>
      </c>
      <c r="S245" s="25" t="s">
        <v>29</v>
      </c>
      <c r="T245" s="25" t="s">
        <v>29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2</v>
      </c>
      <c r="AA245" s="1">
        <v>4</v>
      </c>
      <c r="AB245" s="1">
        <v>4</v>
      </c>
      <c r="AC245" s="1">
        <v>5</v>
      </c>
      <c r="AD245" s="1">
        <v>4</v>
      </c>
      <c r="AE245" s="1">
        <v>1</v>
      </c>
      <c r="AF245" s="1">
        <v>1</v>
      </c>
      <c r="AG245" s="1">
        <v>4</v>
      </c>
      <c r="AH245" s="1">
        <v>2</v>
      </c>
      <c r="AI245" s="1">
        <v>9</v>
      </c>
      <c r="AJ245" s="1">
        <v>2</v>
      </c>
      <c r="AK245" s="1">
        <v>2</v>
      </c>
      <c r="AL245" s="1">
        <v>4</v>
      </c>
      <c r="AM245" s="1">
        <v>2</v>
      </c>
      <c r="AN245" s="1">
        <v>1</v>
      </c>
      <c r="AO245" s="1">
        <v>3</v>
      </c>
      <c r="AP245" s="1">
        <v>2</v>
      </c>
      <c r="AQ245" s="1">
        <v>3</v>
      </c>
      <c r="AR245" s="1">
        <v>2</v>
      </c>
      <c r="AS245" s="1">
        <v>2</v>
      </c>
      <c r="AT245" s="1">
        <v>5</v>
      </c>
      <c r="AU245" s="1">
        <v>4</v>
      </c>
      <c r="AV245" s="1">
        <v>6</v>
      </c>
      <c r="AW245" s="1">
        <v>5</v>
      </c>
      <c r="AY245" s="31">
        <f t="shared" ref="AY245:AY253" si="158">IF(SUM(AU245:AW245)&gt;=0,AVERAGE(AU245:AW245),"")</f>
        <v>5</v>
      </c>
      <c r="AZ245" s="5">
        <f t="shared" si="155"/>
        <v>4.4000000000000004</v>
      </c>
      <c r="BA245" s="5">
        <f t="shared" si="156"/>
        <v>3.3</v>
      </c>
      <c r="BB245" s="5"/>
      <c r="BC245" s="32">
        <f t="shared" si="157"/>
        <v>0.51515151515151525</v>
      </c>
    </row>
    <row r="246" spans="2:55" ht="11.25" customHeight="1">
      <c r="C246" s="1" t="s">
        <v>383</v>
      </c>
      <c r="D246" s="1" t="s">
        <v>384</v>
      </c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AR246" s="1">
        <v>0</v>
      </c>
      <c r="AS246" s="1">
        <v>1</v>
      </c>
      <c r="AT246" s="1">
        <v>0</v>
      </c>
      <c r="AU246" s="1">
        <v>0</v>
      </c>
      <c r="AV246" s="1">
        <v>0</v>
      </c>
      <c r="AW246" s="1">
        <v>2</v>
      </c>
      <c r="AX246" s="25"/>
      <c r="AY246" s="31">
        <f t="shared" ref="AY246" si="159">IF(SUM(AU246:AW246)&gt;=0,AVERAGE(AU246:AW246),"")</f>
        <v>0.66666666666666663</v>
      </c>
      <c r="AZ246" s="5">
        <f t="shared" si="155"/>
        <v>0.6</v>
      </c>
      <c r="BA246" s="3" t="s">
        <v>22</v>
      </c>
      <c r="BB246" s="5"/>
      <c r="BC246" s="32"/>
    </row>
    <row r="247" spans="2:55" ht="11.25" customHeight="1">
      <c r="C247" s="29" t="s">
        <v>240</v>
      </c>
      <c r="D247" s="1" t="s">
        <v>241</v>
      </c>
      <c r="AL247" s="1">
        <v>1</v>
      </c>
      <c r="AM247" s="1">
        <v>2</v>
      </c>
      <c r="AN247" s="1">
        <v>0</v>
      </c>
      <c r="AO247" s="1">
        <v>1</v>
      </c>
      <c r="AP247" s="1">
        <v>0</v>
      </c>
      <c r="AQ247" s="1">
        <v>1</v>
      </c>
      <c r="AR247" s="1">
        <v>0</v>
      </c>
      <c r="AS247" s="1">
        <v>1</v>
      </c>
      <c r="AT247" s="1">
        <v>0</v>
      </c>
      <c r="AU247" s="1">
        <v>2</v>
      </c>
      <c r="AV247" s="1">
        <v>0</v>
      </c>
      <c r="AW247" s="1">
        <v>0</v>
      </c>
      <c r="AY247" s="31">
        <f t="shared" si="158"/>
        <v>0.66666666666666663</v>
      </c>
      <c r="AZ247" s="5">
        <f t="shared" si="155"/>
        <v>0.6</v>
      </c>
      <c r="BA247" s="5">
        <f t="shared" si="156"/>
        <v>0.5</v>
      </c>
      <c r="BB247" s="5"/>
      <c r="BC247" s="32">
        <f t="shared" si="157"/>
        <v>-1</v>
      </c>
    </row>
    <row r="248" spans="2:55" ht="11.25" customHeight="1">
      <c r="C248" s="1" t="s">
        <v>242</v>
      </c>
      <c r="D248" s="1" t="s">
        <v>241</v>
      </c>
      <c r="AL248" s="1">
        <v>3</v>
      </c>
      <c r="AM248" s="1">
        <v>0</v>
      </c>
      <c r="AN248" s="1">
        <v>1</v>
      </c>
      <c r="AO248" s="1">
        <v>3</v>
      </c>
      <c r="AP248" s="1">
        <v>2</v>
      </c>
      <c r="AQ248" s="1">
        <v>0</v>
      </c>
      <c r="AR248" s="1">
        <v>1</v>
      </c>
      <c r="AS248" s="1">
        <v>0</v>
      </c>
      <c r="AT248" s="1">
        <v>2</v>
      </c>
      <c r="AU248" s="1">
        <v>1</v>
      </c>
      <c r="AV248" s="1">
        <v>2</v>
      </c>
      <c r="AW248" s="1">
        <v>1</v>
      </c>
      <c r="AY248" s="31">
        <f t="shared" si="158"/>
        <v>1.3333333333333333</v>
      </c>
      <c r="AZ248" s="5">
        <f t="shared" si="155"/>
        <v>1.2</v>
      </c>
      <c r="BA248" s="5">
        <f t="shared" si="156"/>
        <v>1.3</v>
      </c>
      <c r="BB248" s="5"/>
      <c r="BC248" s="32">
        <f t="shared" si="157"/>
        <v>-0.23076923076923078</v>
      </c>
    </row>
    <row r="249" spans="2:55" ht="11.25" hidden="1" customHeight="1">
      <c r="C249" s="1" t="s">
        <v>243</v>
      </c>
      <c r="D249" s="1" t="s">
        <v>244</v>
      </c>
      <c r="AQ249" s="1">
        <v>0</v>
      </c>
      <c r="AR249" s="1">
        <v>0</v>
      </c>
      <c r="AS249" s="1">
        <v>0</v>
      </c>
      <c r="AT249" s="1">
        <v>0</v>
      </c>
      <c r="AU249" s="1">
        <v>1</v>
      </c>
      <c r="AV249" s="1">
        <v>2</v>
      </c>
      <c r="AW249" s="1">
        <v>1</v>
      </c>
      <c r="AY249" s="31">
        <f t="shared" si="158"/>
        <v>1.3333333333333333</v>
      </c>
      <c r="AZ249" s="5">
        <f t="shared" si="155"/>
        <v>0.8</v>
      </c>
      <c r="BA249" s="5">
        <f t="shared" si="156"/>
        <v>0.5714285714285714</v>
      </c>
      <c r="BB249" s="5"/>
      <c r="BC249" s="32">
        <f t="shared" si="157"/>
        <v>0.75000000000000011</v>
      </c>
    </row>
    <row r="250" spans="2:55" ht="11.25" customHeight="1">
      <c r="C250" s="1" t="s">
        <v>243</v>
      </c>
      <c r="D250" s="1" t="s">
        <v>244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Y250" s="31">
        <f t="shared" ref="AY250" si="160">IF(SUM(AU250:AW250)&gt;=0,AVERAGE(AU250:AW250),"")</f>
        <v>0</v>
      </c>
      <c r="AZ250" s="5">
        <f t="shared" si="155"/>
        <v>0</v>
      </c>
      <c r="BA250" s="3" t="s">
        <v>22</v>
      </c>
      <c r="BC250" s="33"/>
    </row>
    <row r="251" spans="2:55" ht="11.25" customHeight="1">
      <c r="C251" s="1" t="s">
        <v>245</v>
      </c>
      <c r="D251" s="1" t="s">
        <v>241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6</v>
      </c>
      <c r="AT251" s="1">
        <v>10</v>
      </c>
      <c r="AU251" s="1">
        <v>7</v>
      </c>
      <c r="AV251" s="1">
        <v>2</v>
      </c>
      <c r="AW251" s="1">
        <v>9</v>
      </c>
      <c r="AY251" s="31">
        <f t="shared" si="158"/>
        <v>6</v>
      </c>
      <c r="AZ251" s="5">
        <f t="shared" si="155"/>
        <v>6.8</v>
      </c>
      <c r="BA251" s="5">
        <f t="shared" si="156"/>
        <v>3.4</v>
      </c>
      <c r="BB251" s="5"/>
      <c r="BC251" s="32">
        <f t="shared" si="157"/>
        <v>1.6470588235294117</v>
      </c>
    </row>
    <row r="252" spans="2:55" ht="11.25" customHeight="1">
      <c r="C252" s="29" t="s">
        <v>246</v>
      </c>
      <c r="D252" s="1" t="s">
        <v>244</v>
      </c>
      <c r="AQ252" s="1">
        <v>0</v>
      </c>
      <c r="AR252" s="1">
        <v>0</v>
      </c>
      <c r="AS252" s="1">
        <v>2</v>
      </c>
      <c r="AT252" s="1">
        <v>7</v>
      </c>
      <c r="AU252" s="1">
        <v>7</v>
      </c>
      <c r="AV252" s="1">
        <v>1</v>
      </c>
      <c r="AW252" s="1">
        <v>4</v>
      </c>
      <c r="AY252" s="31">
        <f t="shared" si="158"/>
        <v>4</v>
      </c>
      <c r="AZ252" s="5">
        <f t="shared" si="155"/>
        <v>4.2</v>
      </c>
      <c r="BA252" s="3" t="s">
        <v>22</v>
      </c>
      <c r="BC252" s="33"/>
    </row>
    <row r="253" spans="2:55" ht="11.25" customHeight="1">
      <c r="C253" s="29" t="s">
        <v>247</v>
      </c>
      <c r="D253" s="1" t="s">
        <v>241</v>
      </c>
      <c r="AL253" s="1">
        <v>0</v>
      </c>
      <c r="AM253" s="1">
        <v>0</v>
      </c>
      <c r="AN253" s="1">
        <v>1</v>
      </c>
      <c r="AO253" s="1">
        <v>0</v>
      </c>
      <c r="AP253" s="1">
        <v>0</v>
      </c>
      <c r="AQ253" s="1">
        <v>0</v>
      </c>
      <c r="AR253" s="1">
        <v>1</v>
      </c>
      <c r="AS253" s="1">
        <v>1</v>
      </c>
      <c r="AT253" s="1">
        <v>0</v>
      </c>
      <c r="AU253" s="1">
        <v>0</v>
      </c>
      <c r="AV253" s="1">
        <v>0</v>
      </c>
      <c r="AW253" s="1">
        <v>0</v>
      </c>
      <c r="AY253" s="31">
        <f t="shared" si="158"/>
        <v>0</v>
      </c>
      <c r="AZ253" s="5">
        <f t="shared" si="155"/>
        <v>0.2</v>
      </c>
      <c r="BA253" s="5">
        <f>IF(SUM(AN253:AW253)&gt;=0,AVERAGE(AN253:AW253),"")</f>
        <v>0.3</v>
      </c>
      <c r="BB253" s="5"/>
      <c r="BC253" s="32">
        <f>(AW253-BA253)/BA253</f>
        <v>-1</v>
      </c>
    </row>
    <row r="254" spans="2:55" ht="11.25" customHeight="1">
      <c r="C254" s="1" t="s">
        <v>248</v>
      </c>
      <c r="D254" s="1" t="s">
        <v>241</v>
      </c>
      <c r="AE254" s="1">
        <v>0</v>
      </c>
      <c r="AF254" s="1">
        <v>0</v>
      </c>
      <c r="AG254" s="1">
        <v>0</v>
      </c>
      <c r="AH254" s="1">
        <v>0</v>
      </c>
      <c r="AI254" s="1">
        <v>5</v>
      </c>
      <c r="AJ254" s="1">
        <v>1</v>
      </c>
      <c r="AK254" s="1">
        <v>1</v>
      </c>
      <c r="AY254" s="34" t="s">
        <v>22</v>
      </c>
      <c r="AZ254" s="3" t="s">
        <v>22</v>
      </c>
      <c r="BA254" s="3" t="s">
        <v>22</v>
      </c>
      <c r="BC254" s="33"/>
    </row>
    <row r="255" spans="2:55" ht="11.25" customHeight="1">
      <c r="AY255" s="4"/>
      <c r="AZ255" s="4"/>
      <c r="BA255" s="4"/>
    </row>
    <row r="256" spans="2:55" ht="11.25" customHeight="1">
      <c r="B256" s="36" t="s">
        <v>158</v>
      </c>
      <c r="D256" s="27" t="s">
        <v>160</v>
      </c>
      <c r="E256" s="28">
        <f t="shared" ref="E256:AN256" si="161">E242</f>
        <v>0</v>
      </c>
      <c r="F256" s="28">
        <f t="shared" si="161"/>
        <v>0</v>
      </c>
      <c r="G256" s="28">
        <f t="shared" si="161"/>
        <v>0</v>
      </c>
      <c r="H256" s="28">
        <f t="shared" si="161"/>
        <v>0</v>
      </c>
      <c r="I256" s="28">
        <f t="shared" si="161"/>
        <v>0</v>
      </c>
      <c r="J256" s="28">
        <f t="shared" si="161"/>
        <v>9</v>
      </c>
      <c r="K256" s="28">
        <f t="shared" si="161"/>
        <v>19</v>
      </c>
      <c r="L256" s="28">
        <f t="shared" si="161"/>
        <v>22</v>
      </c>
      <c r="M256" s="28">
        <f t="shared" si="161"/>
        <v>37</v>
      </c>
      <c r="N256" s="28">
        <f t="shared" si="161"/>
        <v>49</v>
      </c>
      <c r="O256" s="28">
        <f t="shared" si="161"/>
        <v>65</v>
      </c>
      <c r="P256" s="28">
        <f t="shared" si="161"/>
        <v>62</v>
      </c>
      <c r="Q256" s="28">
        <f t="shared" si="161"/>
        <v>71</v>
      </c>
      <c r="R256" s="28">
        <f t="shared" si="161"/>
        <v>75</v>
      </c>
      <c r="S256" s="28">
        <f t="shared" si="161"/>
        <v>85</v>
      </c>
      <c r="T256" s="28">
        <f t="shared" si="161"/>
        <v>39</v>
      </c>
      <c r="U256" s="28">
        <f t="shared" si="161"/>
        <v>41</v>
      </c>
      <c r="V256" s="28">
        <f t="shared" si="161"/>
        <v>120</v>
      </c>
      <c r="W256" s="28">
        <f t="shared" si="161"/>
        <v>140</v>
      </c>
      <c r="X256" s="28">
        <f t="shared" si="161"/>
        <v>148</v>
      </c>
      <c r="Y256" s="28">
        <f t="shared" si="161"/>
        <v>144</v>
      </c>
      <c r="Z256" s="28">
        <f t="shared" si="161"/>
        <v>140</v>
      </c>
      <c r="AA256" s="28">
        <f t="shared" si="161"/>
        <v>112</v>
      </c>
      <c r="AB256" s="28">
        <f t="shared" si="161"/>
        <v>89</v>
      </c>
      <c r="AC256" s="28">
        <f t="shared" si="161"/>
        <v>106</v>
      </c>
      <c r="AD256" s="28">
        <f t="shared" si="161"/>
        <v>111</v>
      </c>
      <c r="AE256" s="28">
        <f t="shared" si="161"/>
        <v>121</v>
      </c>
      <c r="AF256" s="28">
        <f t="shared" si="161"/>
        <v>151</v>
      </c>
      <c r="AG256" s="28">
        <f t="shared" si="161"/>
        <v>160</v>
      </c>
      <c r="AH256" s="28">
        <f t="shared" si="161"/>
        <v>162</v>
      </c>
      <c r="AI256" s="28">
        <f t="shared" si="161"/>
        <v>185</v>
      </c>
      <c r="AJ256" s="28">
        <f t="shared" si="161"/>
        <v>181</v>
      </c>
      <c r="AK256" s="28">
        <f t="shared" si="161"/>
        <v>200</v>
      </c>
      <c r="AL256" s="28">
        <f t="shared" si="161"/>
        <v>201</v>
      </c>
      <c r="AM256" s="28">
        <f t="shared" si="161"/>
        <v>206</v>
      </c>
      <c r="AN256" s="28">
        <f t="shared" si="161"/>
        <v>224</v>
      </c>
      <c r="AO256" s="28">
        <f t="shared" ref="AO256:AT256" si="162">AO242</f>
        <v>246</v>
      </c>
      <c r="AP256" s="28">
        <f t="shared" si="162"/>
        <v>284</v>
      </c>
      <c r="AQ256" s="28">
        <f t="shared" si="162"/>
        <v>253</v>
      </c>
      <c r="AR256" s="28">
        <f t="shared" si="162"/>
        <v>250</v>
      </c>
      <c r="AS256" s="28">
        <f t="shared" si="162"/>
        <v>237</v>
      </c>
      <c r="AT256" s="28">
        <f t="shared" si="162"/>
        <v>194</v>
      </c>
      <c r="AU256" s="28">
        <f>SUM(AU242)</f>
        <v>197</v>
      </c>
      <c r="AV256" s="28">
        <f t="shared" ref="AV256:AW256" si="163">SUM(AV242)</f>
        <v>205</v>
      </c>
      <c r="AW256" s="28">
        <f t="shared" si="163"/>
        <v>191</v>
      </c>
      <c r="AX256" s="28"/>
      <c r="AY256" s="31">
        <f>IF(SUM(AU256:AW256)&gt;=0,AVERAGE(AU256:AW256),"")</f>
        <v>197.66666666666666</v>
      </c>
      <c r="AZ256" s="5">
        <f t="shared" ref="AZ256:AZ257" si="164">IF(SUM(AS256:AW256)&gt;=0,AVERAGE(AS256:AW256),"")</f>
        <v>204.8</v>
      </c>
      <c r="BA256" s="5">
        <f t="shared" ref="BA256:BA257" si="165">IF(SUM(AN256:AW256)&gt;=0,AVERAGE(AN256:AW256),"")</f>
        <v>228.1</v>
      </c>
      <c r="BB256" s="5"/>
      <c r="BC256" s="32">
        <f t="shared" ref="BC256:BC257" si="166">(AW256-BA256)/BA256</f>
        <v>-0.16264796142042962</v>
      </c>
    </row>
    <row r="257" spans="2:56" ht="11.25" customHeight="1">
      <c r="D257" s="27" t="s">
        <v>161</v>
      </c>
      <c r="E257" s="28">
        <f t="shared" ref="E257:AN257" si="167">E247+E248+E249+E251+E252+E253</f>
        <v>0</v>
      </c>
      <c r="F257" s="28">
        <f t="shared" si="167"/>
        <v>0</v>
      </c>
      <c r="G257" s="28">
        <f t="shared" si="167"/>
        <v>0</v>
      </c>
      <c r="H257" s="28">
        <f t="shared" si="167"/>
        <v>0</v>
      </c>
      <c r="I257" s="28">
        <f t="shared" si="167"/>
        <v>0</v>
      </c>
      <c r="J257" s="28">
        <f t="shared" si="167"/>
        <v>0</v>
      </c>
      <c r="K257" s="28">
        <f t="shared" si="167"/>
        <v>0</v>
      </c>
      <c r="L257" s="28">
        <f t="shared" si="167"/>
        <v>0</v>
      </c>
      <c r="M257" s="28">
        <f t="shared" si="167"/>
        <v>0</v>
      </c>
      <c r="N257" s="28">
        <f t="shared" si="167"/>
        <v>0</v>
      </c>
      <c r="O257" s="28">
        <f t="shared" si="167"/>
        <v>0</v>
      </c>
      <c r="P257" s="28">
        <f t="shared" si="167"/>
        <v>0</v>
      </c>
      <c r="Q257" s="28">
        <f t="shared" si="167"/>
        <v>0</v>
      </c>
      <c r="R257" s="28">
        <f t="shared" si="167"/>
        <v>0</v>
      </c>
      <c r="S257" s="28">
        <f t="shared" si="167"/>
        <v>0</v>
      </c>
      <c r="T257" s="28">
        <f t="shared" si="167"/>
        <v>0</v>
      </c>
      <c r="U257" s="28">
        <f t="shared" si="167"/>
        <v>0</v>
      </c>
      <c r="V257" s="28">
        <f t="shared" si="167"/>
        <v>0</v>
      </c>
      <c r="W257" s="28">
        <f t="shared" si="167"/>
        <v>0</v>
      </c>
      <c r="X257" s="28">
        <f t="shared" si="167"/>
        <v>0</v>
      </c>
      <c r="Y257" s="28">
        <f t="shared" si="167"/>
        <v>0</v>
      </c>
      <c r="Z257" s="28">
        <f t="shared" si="167"/>
        <v>0</v>
      </c>
      <c r="AA257" s="28">
        <f t="shared" si="167"/>
        <v>0</v>
      </c>
      <c r="AB257" s="28">
        <f t="shared" si="167"/>
        <v>0</v>
      </c>
      <c r="AC257" s="28">
        <f t="shared" si="167"/>
        <v>0</v>
      </c>
      <c r="AD257" s="28">
        <f t="shared" si="167"/>
        <v>0</v>
      </c>
      <c r="AE257" s="28">
        <f t="shared" si="167"/>
        <v>0</v>
      </c>
      <c r="AF257" s="28">
        <f t="shared" si="167"/>
        <v>0</v>
      </c>
      <c r="AG257" s="28">
        <f t="shared" si="167"/>
        <v>0</v>
      </c>
      <c r="AH257" s="28">
        <f t="shared" si="167"/>
        <v>0</v>
      </c>
      <c r="AI257" s="28">
        <f t="shared" si="167"/>
        <v>0</v>
      </c>
      <c r="AJ257" s="28">
        <f t="shared" si="167"/>
        <v>0</v>
      </c>
      <c r="AK257" s="28">
        <f t="shared" si="167"/>
        <v>0</v>
      </c>
      <c r="AL257" s="28">
        <f t="shared" si="167"/>
        <v>4</v>
      </c>
      <c r="AM257" s="28">
        <f t="shared" si="167"/>
        <v>2</v>
      </c>
      <c r="AN257" s="28">
        <f t="shared" si="167"/>
        <v>2</v>
      </c>
      <c r="AO257" s="28">
        <f t="shared" ref="AO257:AR257" si="168">AO247+AO248+AO249+AO251+AO252+AO253</f>
        <v>4</v>
      </c>
      <c r="AP257" s="28">
        <f t="shared" si="168"/>
        <v>2</v>
      </c>
      <c r="AQ257" s="28">
        <f t="shared" si="168"/>
        <v>1</v>
      </c>
      <c r="AR257" s="28">
        <f t="shared" si="168"/>
        <v>2</v>
      </c>
      <c r="AS257" s="28">
        <f t="shared" ref="AS257" si="169">AS247+AS248+AS249+AS251+AS252+AS253</f>
        <v>10</v>
      </c>
      <c r="AT257" s="28">
        <f>SUM(AT254,AT253,AT252,AT251,AT250,AT248,AT247,AT246)</f>
        <v>19</v>
      </c>
      <c r="AU257" s="28">
        <f t="shared" ref="AU257:AW257" si="170">SUM(AU254,AU253,AU252,AU251,AU250,AU248,AU247,AU246)</f>
        <v>17</v>
      </c>
      <c r="AV257" s="28">
        <f t="shared" si="170"/>
        <v>5</v>
      </c>
      <c r="AW257" s="28">
        <f t="shared" si="170"/>
        <v>16</v>
      </c>
      <c r="AX257" s="28"/>
      <c r="AY257" s="31">
        <f>IF(SUM(AU257:AW257)&gt;=0,AVERAGE(AU257:AW257),"")</f>
        <v>12.666666666666666</v>
      </c>
      <c r="AZ257" s="5">
        <f t="shared" si="164"/>
        <v>13.4</v>
      </c>
      <c r="BA257" s="5">
        <f t="shared" si="165"/>
        <v>7.8</v>
      </c>
      <c r="BB257" s="5"/>
      <c r="BC257" s="32">
        <f t="shared" si="166"/>
        <v>1.0512820512820513</v>
      </c>
    </row>
    <row r="258" spans="2:56" ht="11.25" customHeight="1">
      <c r="D258" s="27" t="s">
        <v>162</v>
      </c>
      <c r="E258" s="28">
        <f t="shared" ref="E258:AP258" si="171">E243</f>
        <v>0</v>
      </c>
      <c r="F258" s="28">
        <f t="shared" si="171"/>
        <v>0</v>
      </c>
      <c r="G258" s="28">
        <f t="shared" si="171"/>
        <v>0</v>
      </c>
      <c r="H258" s="28">
        <f t="shared" si="171"/>
        <v>0</v>
      </c>
      <c r="I258" s="28">
        <v>0</v>
      </c>
      <c r="J258" s="28">
        <v>0</v>
      </c>
      <c r="K258" s="28">
        <v>0</v>
      </c>
      <c r="L258" s="28">
        <v>0</v>
      </c>
      <c r="M258" s="28">
        <v>0</v>
      </c>
      <c r="N258" s="28">
        <v>0</v>
      </c>
      <c r="O258" s="28">
        <v>0</v>
      </c>
      <c r="P258" s="28">
        <v>0</v>
      </c>
      <c r="Q258" s="28">
        <f t="shared" si="171"/>
        <v>0</v>
      </c>
      <c r="R258" s="28">
        <f t="shared" si="171"/>
        <v>0</v>
      </c>
      <c r="S258" s="28">
        <f t="shared" si="171"/>
        <v>0</v>
      </c>
      <c r="T258" s="28">
        <f t="shared" si="171"/>
        <v>0</v>
      </c>
      <c r="U258" s="28">
        <f t="shared" si="171"/>
        <v>10</v>
      </c>
      <c r="V258" s="28">
        <f t="shared" si="171"/>
        <v>17</v>
      </c>
      <c r="W258" s="28">
        <f t="shared" si="171"/>
        <v>39</v>
      </c>
      <c r="X258" s="28">
        <f t="shared" si="171"/>
        <v>106</v>
      </c>
      <c r="Y258" s="28">
        <f t="shared" si="171"/>
        <v>46</v>
      </c>
      <c r="Z258" s="28">
        <f t="shared" si="171"/>
        <v>94</v>
      </c>
      <c r="AA258" s="28">
        <f t="shared" si="171"/>
        <v>66</v>
      </c>
      <c r="AB258" s="28">
        <f t="shared" si="171"/>
        <v>30</v>
      </c>
      <c r="AC258" s="28">
        <f t="shared" si="171"/>
        <v>88</v>
      </c>
      <c r="AD258" s="28">
        <f t="shared" si="171"/>
        <v>34</v>
      </c>
      <c r="AE258" s="28">
        <f t="shared" si="171"/>
        <v>64</v>
      </c>
      <c r="AF258" s="28">
        <f t="shared" si="171"/>
        <v>60</v>
      </c>
      <c r="AG258" s="28">
        <f t="shared" si="171"/>
        <v>46</v>
      </c>
      <c r="AH258" s="28">
        <f t="shared" si="171"/>
        <v>48</v>
      </c>
      <c r="AI258" s="28">
        <f t="shared" si="171"/>
        <v>51</v>
      </c>
      <c r="AJ258" s="28">
        <f t="shared" si="171"/>
        <v>43</v>
      </c>
      <c r="AK258" s="28">
        <f t="shared" si="171"/>
        <v>41</v>
      </c>
      <c r="AL258" s="28">
        <f t="shared" si="171"/>
        <v>72</v>
      </c>
      <c r="AM258" s="28">
        <f t="shared" si="171"/>
        <v>63</v>
      </c>
      <c r="AN258" s="28">
        <f t="shared" si="171"/>
        <v>79</v>
      </c>
      <c r="AO258" s="28">
        <f t="shared" si="171"/>
        <v>52</v>
      </c>
      <c r="AP258" s="28">
        <f t="shared" si="171"/>
        <v>55</v>
      </c>
      <c r="AQ258" s="28">
        <f t="shared" ref="AQ258:AT258" si="172">AQ243</f>
        <v>53</v>
      </c>
      <c r="AR258" s="28">
        <f t="shared" si="172"/>
        <v>67</v>
      </c>
      <c r="AS258" s="28">
        <f t="shared" si="172"/>
        <v>89</v>
      </c>
      <c r="AT258" s="28">
        <f t="shared" si="172"/>
        <v>3</v>
      </c>
      <c r="AU258" s="28">
        <f>SUM(AU243)</f>
        <v>1</v>
      </c>
      <c r="AV258" s="28">
        <f t="shared" ref="AV258:AW258" si="173">SUM(AV243)</f>
        <v>3</v>
      </c>
      <c r="AW258" s="28">
        <f t="shared" si="173"/>
        <v>0</v>
      </c>
      <c r="AY258" s="34" t="s">
        <v>22</v>
      </c>
      <c r="AZ258" s="3" t="s">
        <v>22</v>
      </c>
      <c r="BA258" s="3" t="s">
        <v>22</v>
      </c>
      <c r="BC258" s="33"/>
    </row>
    <row r="259" spans="2:56" ht="11.25" customHeight="1">
      <c r="D259" s="27" t="s">
        <v>163</v>
      </c>
      <c r="E259" s="28">
        <f t="shared" ref="E259:AQ259" si="174">E244+E245</f>
        <v>0</v>
      </c>
      <c r="F259" s="28">
        <f t="shared" si="174"/>
        <v>0</v>
      </c>
      <c r="G259" s="28">
        <f t="shared" si="174"/>
        <v>0</v>
      </c>
      <c r="H259" s="28">
        <f t="shared" si="174"/>
        <v>0</v>
      </c>
      <c r="I259" s="28">
        <f t="shared" si="174"/>
        <v>0</v>
      </c>
      <c r="J259" s="28">
        <f t="shared" si="174"/>
        <v>0</v>
      </c>
      <c r="K259" s="28">
        <f t="shared" si="174"/>
        <v>0</v>
      </c>
      <c r="L259" s="28">
        <f t="shared" si="174"/>
        <v>0</v>
      </c>
      <c r="M259" s="28">
        <f t="shared" si="174"/>
        <v>0</v>
      </c>
      <c r="N259" s="28">
        <f t="shared" si="174"/>
        <v>0</v>
      </c>
      <c r="O259" s="28">
        <f t="shared" si="174"/>
        <v>0</v>
      </c>
      <c r="P259" s="28">
        <f t="shared" si="174"/>
        <v>0</v>
      </c>
      <c r="Q259" s="28">
        <f t="shared" si="174"/>
        <v>0</v>
      </c>
      <c r="R259" s="28">
        <f t="shared" si="174"/>
        <v>0</v>
      </c>
      <c r="S259" s="28">
        <f t="shared" si="174"/>
        <v>0</v>
      </c>
      <c r="T259" s="28">
        <f t="shared" si="174"/>
        <v>0</v>
      </c>
      <c r="U259" s="28">
        <f t="shared" si="174"/>
        <v>0</v>
      </c>
      <c r="V259" s="28">
        <f t="shared" si="174"/>
        <v>0</v>
      </c>
      <c r="W259" s="28">
        <f t="shared" si="174"/>
        <v>0</v>
      </c>
      <c r="X259" s="28">
        <f t="shared" si="174"/>
        <v>0</v>
      </c>
      <c r="Y259" s="28">
        <f t="shared" si="174"/>
        <v>0</v>
      </c>
      <c r="Z259" s="28">
        <f t="shared" si="174"/>
        <v>2</v>
      </c>
      <c r="AA259" s="28">
        <f t="shared" si="174"/>
        <v>4</v>
      </c>
      <c r="AB259" s="28">
        <f t="shared" si="174"/>
        <v>4</v>
      </c>
      <c r="AC259" s="28">
        <f t="shared" si="174"/>
        <v>5</v>
      </c>
      <c r="AD259" s="28">
        <f t="shared" si="174"/>
        <v>4</v>
      </c>
      <c r="AE259" s="28">
        <f t="shared" si="174"/>
        <v>1</v>
      </c>
      <c r="AF259" s="28">
        <f t="shared" si="174"/>
        <v>1</v>
      </c>
      <c r="AG259" s="28">
        <f t="shared" si="174"/>
        <v>4</v>
      </c>
      <c r="AH259" s="28">
        <f t="shared" si="174"/>
        <v>2</v>
      </c>
      <c r="AI259" s="28">
        <f t="shared" si="174"/>
        <v>9</v>
      </c>
      <c r="AJ259" s="28">
        <f t="shared" si="174"/>
        <v>2</v>
      </c>
      <c r="AK259" s="28">
        <f t="shared" si="174"/>
        <v>2</v>
      </c>
      <c r="AL259" s="28">
        <f t="shared" si="174"/>
        <v>4</v>
      </c>
      <c r="AM259" s="28">
        <f t="shared" si="174"/>
        <v>6</v>
      </c>
      <c r="AN259" s="28">
        <f t="shared" si="174"/>
        <v>7</v>
      </c>
      <c r="AO259" s="28">
        <f t="shared" si="174"/>
        <v>7</v>
      </c>
      <c r="AP259" s="28">
        <f t="shared" si="174"/>
        <v>9</v>
      </c>
      <c r="AQ259" s="28">
        <f t="shared" si="174"/>
        <v>5</v>
      </c>
      <c r="AR259" s="28">
        <f t="shared" ref="AR259:AT259" si="175">AR244+AR245</f>
        <v>8</v>
      </c>
      <c r="AS259" s="28">
        <f t="shared" si="175"/>
        <v>5</v>
      </c>
      <c r="AT259" s="28">
        <f t="shared" si="175"/>
        <v>25</v>
      </c>
      <c r="AU259" s="28">
        <f>SUM(AU244,AU245)</f>
        <v>33</v>
      </c>
      <c r="AV259" s="28">
        <f t="shared" ref="AV259:AW259" si="176">SUM(AV244,AV245)</f>
        <v>41</v>
      </c>
      <c r="AW259" s="28">
        <f t="shared" si="176"/>
        <v>47</v>
      </c>
      <c r="AX259" s="28"/>
      <c r="AY259" s="31">
        <f>IF(SUM(AU259:AW259)&gt;=0,AVERAGE(AU259:AW259),"")</f>
        <v>40.333333333333336</v>
      </c>
      <c r="AZ259" s="5">
        <f>IF(SUM(AS259:AW259)&gt;=0,AVERAGE(AS259:AW259),"")</f>
        <v>30.2</v>
      </c>
      <c r="BA259" s="5">
        <f>IF(SUM(AN259:AW259)&gt;=0,AVERAGE(AN259:AW259),"")</f>
        <v>18.7</v>
      </c>
      <c r="BB259" s="5"/>
      <c r="BC259" s="32">
        <f>(AW259-BA259)/BA259</f>
        <v>1.5133689839572193</v>
      </c>
    </row>
    <row r="260" spans="2:56" ht="11.25" customHeight="1">
      <c r="AY260" s="32"/>
      <c r="AZ260" s="4"/>
      <c r="BA260" s="4"/>
      <c r="BC260" s="33"/>
    </row>
    <row r="261" spans="2:56" ht="11.25" customHeight="1">
      <c r="B261" s="36" t="s">
        <v>249</v>
      </c>
      <c r="D261" s="1" t="s">
        <v>165</v>
      </c>
      <c r="E261" s="28">
        <f t="shared" ref="E261:AQ261" si="177">SUM(E256:E259)</f>
        <v>0</v>
      </c>
      <c r="F261" s="28">
        <f t="shared" si="177"/>
        <v>0</v>
      </c>
      <c r="G261" s="28">
        <f t="shared" si="177"/>
        <v>0</v>
      </c>
      <c r="H261" s="28">
        <f t="shared" si="177"/>
        <v>0</v>
      </c>
      <c r="I261" s="28">
        <f t="shared" si="177"/>
        <v>0</v>
      </c>
      <c r="J261" s="28">
        <f t="shared" si="177"/>
        <v>9</v>
      </c>
      <c r="K261" s="28">
        <f t="shared" si="177"/>
        <v>19</v>
      </c>
      <c r="L261" s="28">
        <f t="shared" si="177"/>
        <v>22</v>
      </c>
      <c r="M261" s="28">
        <f t="shared" si="177"/>
        <v>37</v>
      </c>
      <c r="N261" s="28">
        <f t="shared" si="177"/>
        <v>49</v>
      </c>
      <c r="O261" s="28">
        <f t="shared" si="177"/>
        <v>65</v>
      </c>
      <c r="P261" s="28">
        <f t="shared" si="177"/>
        <v>62</v>
      </c>
      <c r="Q261" s="28">
        <f t="shared" si="177"/>
        <v>71</v>
      </c>
      <c r="R261" s="28">
        <f t="shared" si="177"/>
        <v>75</v>
      </c>
      <c r="S261" s="28">
        <f t="shared" si="177"/>
        <v>85</v>
      </c>
      <c r="T261" s="28">
        <f t="shared" si="177"/>
        <v>39</v>
      </c>
      <c r="U261" s="28">
        <f t="shared" si="177"/>
        <v>51</v>
      </c>
      <c r="V261" s="28">
        <f t="shared" si="177"/>
        <v>137</v>
      </c>
      <c r="W261" s="28">
        <f t="shared" si="177"/>
        <v>179</v>
      </c>
      <c r="X261" s="28">
        <f t="shared" si="177"/>
        <v>254</v>
      </c>
      <c r="Y261" s="28">
        <f t="shared" si="177"/>
        <v>190</v>
      </c>
      <c r="Z261" s="28">
        <f t="shared" si="177"/>
        <v>236</v>
      </c>
      <c r="AA261" s="28">
        <f t="shared" si="177"/>
        <v>182</v>
      </c>
      <c r="AB261" s="28">
        <f t="shared" si="177"/>
        <v>123</v>
      </c>
      <c r="AC261" s="28">
        <f t="shared" si="177"/>
        <v>199</v>
      </c>
      <c r="AD261" s="28">
        <f t="shared" si="177"/>
        <v>149</v>
      </c>
      <c r="AE261" s="28">
        <f t="shared" si="177"/>
        <v>186</v>
      </c>
      <c r="AF261" s="28">
        <f t="shared" si="177"/>
        <v>212</v>
      </c>
      <c r="AG261" s="28">
        <f t="shared" si="177"/>
        <v>210</v>
      </c>
      <c r="AH261" s="28">
        <f t="shared" si="177"/>
        <v>212</v>
      </c>
      <c r="AI261" s="28">
        <f t="shared" si="177"/>
        <v>245</v>
      </c>
      <c r="AJ261" s="28">
        <f t="shared" si="177"/>
        <v>226</v>
      </c>
      <c r="AK261" s="28">
        <f t="shared" si="177"/>
        <v>243</v>
      </c>
      <c r="AL261" s="28">
        <f t="shared" si="177"/>
        <v>281</v>
      </c>
      <c r="AM261" s="28">
        <f t="shared" si="177"/>
        <v>277</v>
      </c>
      <c r="AN261" s="28">
        <f t="shared" si="177"/>
        <v>312</v>
      </c>
      <c r="AO261" s="28">
        <f t="shared" si="177"/>
        <v>309</v>
      </c>
      <c r="AP261" s="28">
        <f t="shared" si="177"/>
        <v>350</v>
      </c>
      <c r="AQ261" s="28">
        <f t="shared" si="177"/>
        <v>312</v>
      </c>
      <c r="AR261" s="28">
        <f t="shared" ref="AR261" si="178">SUM(AR256:AR259)</f>
        <v>327</v>
      </c>
      <c r="AS261" s="28">
        <f t="shared" ref="AS261:AU261" si="179">SUM(AS256:AS259)</f>
        <v>341</v>
      </c>
      <c r="AT261" s="28">
        <f t="shared" si="179"/>
        <v>241</v>
      </c>
      <c r="AU261" s="28">
        <f t="shared" si="179"/>
        <v>248</v>
      </c>
      <c r="AV261" s="28">
        <f>SUM(AV256:AV259)</f>
        <v>254</v>
      </c>
      <c r="AW261" s="28">
        <f>SUM(AW256:AW259)</f>
        <v>254</v>
      </c>
      <c r="AX261" s="28"/>
      <c r="AY261" s="31">
        <f>IF(SUM(AU261:AW261)&gt;=0,AVERAGE(AU261:AW261),"")</f>
        <v>252</v>
      </c>
      <c r="AZ261" s="5">
        <f>IF(SUM(AS261:AW261)&gt;=0,AVERAGE(AS261:AW261),"")</f>
        <v>267.60000000000002</v>
      </c>
      <c r="BA261" s="5">
        <f>IF(SUM(AN261:AW261)&gt;=0,AVERAGE(AN261:AW261),"")</f>
        <v>294.8</v>
      </c>
      <c r="BB261" s="5"/>
      <c r="BC261" s="32">
        <f>(AW261-BA261)/BA261</f>
        <v>-0.13839891451831754</v>
      </c>
    </row>
    <row r="262" spans="2:56" ht="11.25" customHeight="1"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4"/>
      <c r="AZ262" s="4"/>
      <c r="BA262" s="4"/>
    </row>
    <row r="263" spans="2:56" ht="11.25" customHeight="1"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4"/>
      <c r="AZ263" s="4"/>
      <c r="BA263" s="4"/>
    </row>
    <row r="264" spans="2:56" ht="22.5" customHeight="1">
      <c r="B264" s="50" t="s">
        <v>250</v>
      </c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20"/>
      <c r="BC264" s="20"/>
      <c r="BD264" s="20"/>
    </row>
    <row r="265" spans="2:56" ht="11.25" customHeight="1">
      <c r="B265" s="51"/>
      <c r="C265" s="9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4" t="str">
        <f>IF(AA265&gt;0,IF(AA265&gt;9,(AA265-Z265)/Z265,"&lt;10 cases"),"")</f>
        <v/>
      </c>
      <c r="AZ265" s="4" t="str">
        <f>IF(AA265&gt;0,IF(AA265&gt;9,(AA265-(SUM(V265:Z265)/5))/AA265,"&lt;10 cases"),"")</f>
        <v/>
      </c>
      <c r="BA265" s="4" t="str">
        <f>IF(AA265&gt;0,IF(AA265&gt;9,(AA265-SUM(Q265:Z265)/10)/AA265,"&lt;10 cases"),"")</f>
        <v/>
      </c>
    </row>
    <row r="266" spans="2:56" ht="11.25" customHeight="1">
      <c r="B266" s="36" t="s">
        <v>251</v>
      </c>
      <c r="C266" s="1" t="s">
        <v>252</v>
      </c>
      <c r="D266" s="1" t="s">
        <v>253</v>
      </c>
      <c r="I266" s="25" t="s">
        <v>29</v>
      </c>
      <c r="J266" s="25" t="s">
        <v>29</v>
      </c>
      <c r="K266" s="1">
        <v>31</v>
      </c>
      <c r="L266" s="1">
        <v>25</v>
      </c>
      <c r="M266" s="1">
        <v>30</v>
      </c>
      <c r="N266" s="1">
        <v>28</v>
      </c>
      <c r="O266" s="1">
        <v>30</v>
      </c>
      <c r="P266" s="1">
        <v>42</v>
      </c>
      <c r="Q266" s="1">
        <v>41</v>
      </c>
      <c r="R266" s="1">
        <v>37</v>
      </c>
      <c r="S266" s="1">
        <v>39</v>
      </c>
      <c r="T266" s="1">
        <v>40</v>
      </c>
      <c r="U266" s="1">
        <v>39</v>
      </c>
      <c r="V266" s="1">
        <v>35</v>
      </c>
      <c r="W266" s="1">
        <v>41</v>
      </c>
      <c r="X266" s="1">
        <v>37</v>
      </c>
      <c r="Y266" s="1">
        <v>38</v>
      </c>
      <c r="Z266" s="1">
        <v>43</v>
      </c>
      <c r="AA266" s="1">
        <v>44</v>
      </c>
      <c r="AB266" s="1">
        <v>45</v>
      </c>
      <c r="AC266" s="1">
        <v>42</v>
      </c>
      <c r="AD266" s="1">
        <v>39</v>
      </c>
      <c r="AE266" s="1">
        <v>35</v>
      </c>
      <c r="AF266" s="1">
        <v>46</v>
      </c>
      <c r="AG266" s="1">
        <v>34</v>
      </c>
      <c r="AH266" s="1">
        <v>44</v>
      </c>
      <c r="AI266" s="1">
        <v>38</v>
      </c>
      <c r="AJ266" s="1">
        <v>44</v>
      </c>
      <c r="AK266" s="1">
        <v>41</v>
      </c>
      <c r="AL266" s="1">
        <v>44</v>
      </c>
      <c r="AM266" s="1">
        <v>47</v>
      </c>
      <c r="AN266" s="1">
        <v>40</v>
      </c>
      <c r="AO266" s="1">
        <v>39</v>
      </c>
      <c r="AP266" s="1">
        <v>41</v>
      </c>
      <c r="AQ266" s="1">
        <v>45</v>
      </c>
      <c r="AR266" s="1">
        <v>43</v>
      </c>
      <c r="AS266" s="1">
        <v>39</v>
      </c>
      <c r="AT266" s="1">
        <v>39</v>
      </c>
      <c r="AU266" s="1">
        <v>46</v>
      </c>
      <c r="AV266" s="1">
        <v>47</v>
      </c>
      <c r="AW266" s="1">
        <v>37</v>
      </c>
      <c r="AY266" s="31">
        <f>IF(SUM(AU266:AW266)&gt;=0,AVERAGE(AU266:AW266),"")</f>
        <v>43.333333333333336</v>
      </c>
      <c r="AZ266" s="5">
        <f>IF(SUM(AS266:AW266)&gt;=0,AVERAGE(AS266:AW266),"")</f>
        <v>41.6</v>
      </c>
      <c r="BA266" s="5">
        <f>IF(SUM(AN266:AW266)&gt;=0,AVERAGE(AN266:AW266),"")</f>
        <v>41.6</v>
      </c>
      <c r="BB266" s="5"/>
      <c r="BC266" s="32">
        <f>(AW266-BA266)/BA266</f>
        <v>-0.1105769230769231</v>
      </c>
    </row>
    <row r="267" spans="2:56" ht="11.25" customHeight="1">
      <c r="C267" s="1" t="s">
        <v>254</v>
      </c>
      <c r="D267" s="1" t="s">
        <v>255</v>
      </c>
      <c r="I267" s="25" t="s">
        <v>29</v>
      </c>
      <c r="J267" s="25" t="s">
        <v>29</v>
      </c>
      <c r="K267" s="25" t="s">
        <v>29</v>
      </c>
      <c r="L267" s="25" t="s">
        <v>29</v>
      </c>
      <c r="M267" s="25" t="s">
        <v>29</v>
      </c>
      <c r="N267" s="25" t="s">
        <v>29</v>
      </c>
      <c r="O267" s="25" t="s">
        <v>29</v>
      </c>
      <c r="P267" s="25" t="s">
        <v>29</v>
      </c>
      <c r="Q267" s="25" t="s">
        <v>29</v>
      </c>
      <c r="R267" s="1">
        <v>0</v>
      </c>
      <c r="S267" s="1">
        <v>0</v>
      </c>
      <c r="T267" s="1">
        <v>0</v>
      </c>
      <c r="U267" s="1">
        <v>1</v>
      </c>
      <c r="V267" s="1">
        <v>2</v>
      </c>
      <c r="W267" s="1">
        <v>3</v>
      </c>
      <c r="X267" s="1">
        <v>1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2</v>
      </c>
      <c r="AE267" s="1">
        <v>1</v>
      </c>
      <c r="AF267" s="1">
        <v>0</v>
      </c>
      <c r="AG267" s="1">
        <v>0</v>
      </c>
      <c r="AH267" s="1">
        <v>0</v>
      </c>
      <c r="AI267" s="1">
        <v>0</v>
      </c>
      <c r="AJ267" s="1">
        <v>1</v>
      </c>
      <c r="AK267" s="1">
        <v>2</v>
      </c>
      <c r="AL267" s="1">
        <v>1</v>
      </c>
      <c r="AM267" s="1">
        <v>0</v>
      </c>
      <c r="AN267" s="1">
        <v>1</v>
      </c>
      <c r="AO267" s="1">
        <v>1</v>
      </c>
      <c r="AY267" s="34" t="s">
        <v>22</v>
      </c>
      <c r="AZ267" s="3" t="s">
        <v>22</v>
      </c>
      <c r="BA267" s="3" t="s">
        <v>22</v>
      </c>
      <c r="BC267" s="33"/>
    </row>
    <row r="268" spans="2:56" ht="11.25" customHeight="1">
      <c r="D268" s="1" t="s">
        <v>256</v>
      </c>
      <c r="I268" s="25" t="s">
        <v>29</v>
      </c>
      <c r="J268" s="25" t="s">
        <v>29</v>
      </c>
      <c r="K268" s="25" t="s">
        <v>29</v>
      </c>
      <c r="L268" s="25" t="s">
        <v>29</v>
      </c>
      <c r="M268" s="25" t="s">
        <v>29</v>
      </c>
      <c r="N268" s="25" t="s">
        <v>29</v>
      </c>
      <c r="O268" s="25" t="s">
        <v>29</v>
      </c>
      <c r="P268" s="25" t="s">
        <v>29</v>
      </c>
      <c r="Q268" s="25" t="s">
        <v>29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1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1</v>
      </c>
      <c r="AD268" s="1">
        <v>1</v>
      </c>
      <c r="AE268" s="1">
        <v>1</v>
      </c>
      <c r="AF268" s="1">
        <v>2</v>
      </c>
      <c r="AG268" s="1">
        <v>0</v>
      </c>
      <c r="AH268" s="1">
        <v>1</v>
      </c>
      <c r="AI268" s="1">
        <v>1</v>
      </c>
      <c r="AJ268" s="1">
        <v>0</v>
      </c>
      <c r="AK268" s="1">
        <v>0</v>
      </c>
      <c r="AL268" s="1">
        <v>0</v>
      </c>
      <c r="AM268" s="1">
        <v>0</v>
      </c>
      <c r="AN268" s="1">
        <v>1</v>
      </c>
      <c r="AO268" s="1">
        <v>0</v>
      </c>
      <c r="AP268" s="1">
        <v>1</v>
      </c>
      <c r="AY268" s="34" t="s">
        <v>22</v>
      </c>
      <c r="AZ268" s="3" t="s">
        <v>22</v>
      </c>
      <c r="BA268" s="3" t="s">
        <v>22</v>
      </c>
      <c r="BC268" s="33"/>
    </row>
    <row r="269" spans="2:56" ht="11.25" customHeight="1">
      <c r="AY269" s="4"/>
      <c r="AZ269" s="4"/>
      <c r="BA269" s="4"/>
    </row>
    <row r="270" spans="2:56" ht="11.25" customHeight="1">
      <c r="B270" s="36" t="s">
        <v>158</v>
      </c>
      <c r="D270" s="27" t="s">
        <v>257</v>
      </c>
      <c r="E270" s="28">
        <f t="shared" ref="E270:AO272" si="180">E266</f>
        <v>0</v>
      </c>
      <c r="F270" s="28">
        <f t="shared" si="180"/>
        <v>0</v>
      </c>
      <c r="G270" s="28">
        <f t="shared" si="180"/>
        <v>0</v>
      </c>
      <c r="H270" s="28">
        <f t="shared" si="180"/>
        <v>0</v>
      </c>
      <c r="I270" s="28">
        <v>0</v>
      </c>
      <c r="J270" s="28">
        <v>0</v>
      </c>
      <c r="K270" s="28">
        <f t="shared" si="180"/>
        <v>31</v>
      </c>
      <c r="L270" s="28">
        <f t="shared" si="180"/>
        <v>25</v>
      </c>
      <c r="M270" s="28">
        <f t="shared" si="180"/>
        <v>30</v>
      </c>
      <c r="N270" s="28">
        <f t="shared" si="180"/>
        <v>28</v>
      </c>
      <c r="O270" s="28">
        <f t="shared" si="180"/>
        <v>30</v>
      </c>
      <c r="P270" s="28">
        <f t="shared" si="180"/>
        <v>42</v>
      </c>
      <c r="Q270" s="28">
        <f t="shared" si="180"/>
        <v>41</v>
      </c>
      <c r="R270" s="28">
        <f t="shared" si="180"/>
        <v>37</v>
      </c>
      <c r="S270" s="28">
        <f t="shared" si="180"/>
        <v>39</v>
      </c>
      <c r="T270" s="28">
        <f t="shared" si="180"/>
        <v>40</v>
      </c>
      <c r="U270" s="28">
        <f t="shared" si="180"/>
        <v>39</v>
      </c>
      <c r="V270" s="28">
        <f t="shared" si="180"/>
        <v>35</v>
      </c>
      <c r="W270" s="28">
        <f t="shared" si="180"/>
        <v>41</v>
      </c>
      <c r="X270" s="28">
        <f t="shared" si="180"/>
        <v>37</v>
      </c>
      <c r="Y270" s="28">
        <f t="shared" si="180"/>
        <v>38</v>
      </c>
      <c r="Z270" s="28">
        <f t="shared" si="180"/>
        <v>43</v>
      </c>
      <c r="AA270" s="28">
        <f t="shared" si="180"/>
        <v>44</v>
      </c>
      <c r="AB270" s="28">
        <f t="shared" si="180"/>
        <v>45</v>
      </c>
      <c r="AC270" s="28">
        <f t="shared" si="180"/>
        <v>42</v>
      </c>
      <c r="AD270" s="28">
        <f t="shared" si="180"/>
        <v>39</v>
      </c>
      <c r="AE270" s="28">
        <f t="shared" si="180"/>
        <v>35</v>
      </c>
      <c r="AF270" s="28">
        <f t="shared" si="180"/>
        <v>46</v>
      </c>
      <c r="AG270" s="28">
        <f t="shared" si="180"/>
        <v>34</v>
      </c>
      <c r="AH270" s="28">
        <f t="shared" si="180"/>
        <v>44</v>
      </c>
      <c r="AI270" s="28">
        <f t="shared" si="180"/>
        <v>38</v>
      </c>
      <c r="AJ270" s="28">
        <f t="shared" si="180"/>
        <v>44</v>
      </c>
      <c r="AK270" s="28">
        <f t="shared" si="180"/>
        <v>41</v>
      </c>
      <c r="AL270" s="28">
        <f t="shared" si="180"/>
        <v>44</v>
      </c>
      <c r="AM270" s="28">
        <f t="shared" si="180"/>
        <v>47</v>
      </c>
      <c r="AN270" s="28">
        <f t="shared" si="180"/>
        <v>40</v>
      </c>
      <c r="AO270" s="28">
        <f t="shared" si="180"/>
        <v>39</v>
      </c>
      <c r="AP270" s="28">
        <f t="shared" ref="AP270:AQ270" si="181">AP266</f>
        <v>41</v>
      </c>
      <c r="AQ270" s="28">
        <f t="shared" si="181"/>
        <v>45</v>
      </c>
      <c r="AR270" s="28">
        <f t="shared" ref="AR270:AS270" si="182">AR266</f>
        <v>43</v>
      </c>
      <c r="AS270" s="28">
        <f t="shared" si="182"/>
        <v>39</v>
      </c>
      <c r="AT270" s="28">
        <f t="shared" ref="AT270:AW270" si="183">AT266</f>
        <v>39</v>
      </c>
      <c r="AU270" s="28">
        <f t="shared" si="183"/>
        <v>46</v>
      </c>
      <c r="AV270" s="28">
        <f t="shared" si="183"/>
        <v>47</v>
      </c>
      <c r="AW270" s="28">
        <f t="shared" si="183"/>
        <v>37</v>
      </c>
      <c r="AX270" s="28"/>
      <c r="AY270" s="31">
        <f>IF(SUM(AU270:AW270)&gt;=0,AVERAGE(AU270:AW270),"")</f>
        <v>43.333333333333336</v>
      </c>
      <c r="AZ270" s="5">
        <f>IF(SUM(AS270:AW270)&gt;=0,AVERAGE(AS270:AW270),"")</f>
        <v>41.6</v>
      </c>
      <c r="BA270" s="5">
        <f>IF(SUM(AN270:AW270)&gt;=0,AVERAGE(AN270:AW270),"")</f>
        <v>41.6</v>
      </c>
      <c r="BB270" s="5"/>
      <c r="BC270" s="32">
        <f>(AW270-BA270)/BA270</f>
        <v>-0.1105769230769231</v>
      </c>
    </row>
    <row r="271" spans="2:56" ht="11.25" customHeight="1">
      <c r="D271" s="27" t="s">
        <v>162</v>
      </c>
      <c r="E271" s="28">
        <f t="shared" si="180"/>
        <v>0</v>
      </c>
      <c r="F271" s="28">
        <f t="shared" si="180"/>
        <v>0</v>
      </c>
      <c r="G271" s="28">
        <f t="shared" si="180"/>
        <v>0</v>
      </c>
      <c r="H271" s="28">
        <f t="shared" si="180"/>
        <v>0</v>
      </c>
      <c r="I271" s="28">
        <v>0</v>
      </c>
      <c r="J271" s="28">
        <v>0</v>
      </c>
      <c r="K271" s="28">
        <v>0</v>
      </c>
      <c r="L271" s="28">
        <v>0</v>
      </c>
      <c r="M271" s="28">
        <v>0</v>
      </c>
      <c r="N271" s="28">
        <v>0</v>
      </c>
      <c r="O271" s="28">
        <v>0</v>
      </c>
      <c r="P271" s="28">
        <v>0</v>
      </c>
      <c r="Q271" s="28">
        <v>0</v>
      </c>
      <c r="R271" s="28">
        <f t="shared" si="180"/>
        <v>0</v>
      </c>
      <c r="S271" s="28">
        <f t="shared" si="180"/>
        <v>0</v>
      </c>
      <c r="T271" s="28">
        <f t="shared" si="180"/>
        <v>0</v>
      </c>
      <c r="U271" s="28">
        <f t="shared" si="180"/>
        <v>1</v>
      </c>
      <c r="V271" s="28">
        <f t="shared" si="180"/>
        <v>2</v>
      </c>
      <c r="W271" s="28">
        <f t="shared" si="180"/>
        <v>3</v>
      </c>
      <c r="X271" s="28">
        <f t="shared" si="180"/>
        <v>1</v>
      </c>
      <c r="Y271" s="28">
        <f t="shared" si="180"/>
        <v>0</v>
      </c>
      <c r="Z271" s="28">
        <f t="shared" si="180"/>
        <v>0</v>
      </c>
      <c r="AA271" s="28">
        <f t="shared" si="180"/>
        <v>0</v>
      </c>
      <c r="AB271" s="28">
        <f t="shared" si="180"/>
        <v>0</v>
      </c>
      <c r="AC271" s="28">
        <f t="shared" si="180"/>
        <v>0</v>
      </c>
      <c r="AD271" s="28">
        <f t="shared" si="180"/>
        <v>2</v>
      </c>
      <c r="AE271" s="28">
        <f t="shared" si="180"/>
        <v>1</v>
      </c>
      <c r="AF271" s="28">
        <f t="shared" si="180"/>
        <v>0</v>
      </c>
      <c r="AG271" s="28">
        <f t="shared" si="180"/>
        <v>0</v>
      </c>
      <c r="AH271" s="28">
        <f t="shared" si="180"/>
        <v>0</v>
      </c>
      <c r="AI271" s="28">
        <f t="shared" si="180"/>
        <v>0</v>
      </c>
      <c r="AJ271" s="28">
        <f t="shared" si="180"/>
        <v>1</v>
      </c>
      <c r="AK271" s="28">
        <f t="shared" si="180"/>
        <v>2</v>
      </c>
      <c r="AL271" s="28">
        <f t="shared" si="180"/>
        <v>1</v>
      </c>
      <c r="AM271" s="28">
        <f t="shared" si="180"/>
        <v>0</v>
      </c>
      <c r="AN271" s="28">
        <f t="shared" si="180"/>
        <v>1</v>
      </c>
      <c r="AO271" s="28">
        <f t="shared" si="180"/>
        <v>1</v>
      </c>
      <c r="AP271" s="28">
        <f t="shared" ref="AP271:AW271" si="184">AP267</f>
        <v>0</v>
      </c>
      <c r="AQ271" s="28">
        <f t="shared" si="184"/>
        <v>0</v>
      </c>
      <c r="AR271" s="28">
        <f t="shared" si="184"/>
        <v>0</v>
      </c>
      <c r="AS271" s="28">
        <f t="shared" si="184"/>
        <v>0</v>
      </c>
      <c r="AT271" s="28">
        <f t="shared" si="184"/>
        <v>0</v>
      </c>
      <c r="AU271" s="28">
        <f t="shared" si="184"/>
        <v>0</v>
      </c>
      <c r="AV271" s="28">
        <f t="shared" si="184"/>
        <v>0</v>
      </c>
      <c r="AW271" s="28">
        <f t="shared" si="184"/>
        <v>0</v>
      </c>
      <c r="AY271" s="34" t="s">
        <v>22</v>
      </c>
      <c r="AZ271" s="3" t="s">
        <v>22</v>
      </c>
      <c r="BA271" s="3" t="s">
        <v>22</v>
      </c>
      <c r="BC271" s="33"/>
    </row>
    <row r="272" spans="2:56" ht="11.25" customHeight="1">
      <c r="D272" s="27" t="s">
        <v>163</v>
      </c>
      <c r="E272" s="28">
        <f t="shared" si="180"/>
        <v>0</v>
      </c>
      <c r="F272" s="28">
        <f t="shared" si="180"/>
        <v>0</v>
      </c>
      <c r="G272" s="28">
        <f t="shared" si="180"/>
        <v>0</v>
      </c>
      <c r="H272" s="28">
        <f t="shared" si="180"/>
        <v>0</v>
      </c>
      <c r="I272" s="28">
        <v>0</v>
      </c>
      <c r="J272" s="28">
        <v>0</v>
      </c>
      <c r="K272" s="28">
        <v>0</v>
      </c>
      <c r="L272" s="28">
        <v>0</v>
      </c>
      <c r="M272" s="28">
        <v>0</v>
      </c>
      <c r="N272" s="28">
        <v>0</v>
      </c>
      <c r="O272" s="28">
        <v>0</v>
      </c>
      <c r="P272" s="28">
        <v>0</v>
      </c>
      <c r="Q272" s="28">
        <v>0</v>
      </c>
      <c r="R272" s="28">
        <f t="shared" si="180"/>
        <v>0</v>
      </c>
      <c r="S272" s="28">
        <f t="shared" si="180"/>
        <v>0</v>
      </c>
      <c r="T272" s="28">
        <f t="shared" si="180"/>
        <v>0</v>
      </c>
      <c r="U272" s="28">
        <f t="shared" si="180"/>
        <v>0</v>
      </c>
      <c r="V272" s="28">
        <f t="shared" si="180"/>
        <v>0</v>
      </c>
      <c r="W272" s="28">
        <f t="shared" si="180"/>
        <v>1</v>
      </c>
      <c r="X272" s="28">
        <f t="shared" si="180"/>
        <v>0</v>
      </c>
      <c r="Y272" s="28">
        <f t="shared" si="180"/>
        <v>0</v>
      </c>
      <c r="Z272" s="28">
        <f t="shared" si="180"/>
        <v>0</v>
      </c>
      <c r="AA272" s="28">
        <f t="shared" si="180"/>
        <v>0</v>
      </c>
      <c r="AB272" s="28">
        <f t="shared" si="180"/>
        <v>0</v>
      </c>
      <c r="AC272" s="28">
        <f t="shared" si="180"/>
        <v>1</v>
      </c>
      <c r="AD272" s="28">
        <f t="shared" si="180"/>
        <v>1</v>
      </c>
      <c r="AE272" s="28">
        <f t="shared" si="180"/>
        <v>1</v>
      </c>
      <c r="AF272" s="28">
        <f t="shared" si="180"/>
        <v>2</v>
      </c>
      <c r="AG272" s="28">
        <f t="shared" si="180"/>
        <v>0</v>
      </c>
      <c r="AH272" s="28">
        <f t="shared" si="180"/>
        <v>1</v>
      </c>
      <c r="AI272" s="28">
        <f t="shared" si="180"/>
        <v>1</v>
      </c>
      <c r="AJ272" s="28">
        <f t="shared" si="180"/>
        <v>0</v>
      </c>
      <c r="AK272" s="28">
        <f t="shared" si="180"/>
        <v>0</v>
      </c>
      <c r="AL272" s="28">
        <f t="shared" si="180"/>
        <v>0</v>
      </c>
      <c r="AM272" s="28">
        <f t="shared" si="180"/>
        <v>0</v>
      </c>
      <c r="AN272" s="28">
        <f t="shared" si="180"/>
        <v>1</v>
      </c>
      <c r="AO272" s="28">
        <f t="shared" si="180"/>
        <v>0</v>
      </c>
      <c r="AP272" s="28">
        <f t="shared" ref="AP272:AW272" si="185">AP268</f>
        <v>1</v>
      </c>
      <c r="AQ272" s="28">
        <f t="shared" si="185"/>
        <v>0</v>
      </c>
      <c r="AR272" s="28">
        <f t="shared" si="185"/>
        <v>0</v>
      </c>
      <c r="AS272" s="28">
        <f t="shared" si="185"/>
        <v>0</v>
      </c>
      <c r="AT272" s="28">
        <f t="shared" si="185"/>
        <v>0</v>
      </c>
      <c r="AU272" s="28">
        <f t="shared" si="185"/>
        <v>0</v>
      </c>
      <c r="AV272" s="28">
        <f t="shared" si="185"/>
        <v>0</v>
      </c>
      <c r="AW272" s="28">
        <f t="shared" si="185"/>
        <v>0</v>
      </c>
      <c r="AY272" s="34" t="s">
        <v>22</v>
      </c>
      <c r="AZ272" s="3" t="s">
        <v>22</v>
      </c>
      <c r="BA272" s="3" t="s">
        <v>22</v>
      </c>
      <c r="BC272" s="33"/>
    </row>
    <row r="273" spans="2:56" ht="11.25" customHeight="1"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4"/>
      <c r="AZ273" s="4"/>
      <c r="BA273" s="4"/>
    </row>
    <row r="274" spans="2:56" ht="11.25" customHeight="1">
      <c r="B274" s="36" t="s">
        <v>258</v>
      </c>
      <c r="D274" s="1" t="s">
        <v>165</v>
      </c>
      <c r="E274" s="28">
        <f t="shared" ref="E274:AP274" si="186">E270+E271+E272</f>
        <v>0</v>
      </c>
      <c r="F274" s="28">
        <f t="shared" si="186"/>
        <v>0</v>
      </c>
      <c r="G274" s="28">
        <f t="shared" si="186"/>
        <v>0</v>
      </c>
      <c r="H274" s="28">
        <f t="shared" si="186"/>
        <v>0</v>
      </c>
      <c r="I274" s="28">
        <f t="shared" si="186"/>
        <v>0</v>
      </c>
      <c r="J274" s="28">
        <f t="shared" si="186"/>
        <v>0</v>
      </c>
      <c r="K274" s="28">
        <f t="shared" si="186"/>
        <v>31</v>
      </c>
      <c r="L274" s="28">
        <f t="shared" si="186"/>
        <v>25</v>
      </c>
      <c r="M274" s="28">
        <f t="shared" si="186"/>
        <v>30</v>
      </c>
      <c r="N274" s="28">
        <f t="shared" si="186"/>
        <v>28</v>
      </c>
      <c r="O274" s="28">
        <f t="shared" si="186"/>
        <v>30</v>
      </c>
      <c r="P274" s="28">
        <f t="shared" si="186"/>
        <v>42</v>
      </c>
      <c r="Q274" s="28">
        <f t="shared" si="186"/>
        <v>41</v>
      </c>
      <c r="R274" s="28">
        <f t="shared" si="186"/>
        <v>37</v>
      </c>
      <c r="S274" s="28">
        <f t="shared" si="186"/>
        <v>39</v>
      </c>
      <c r="T274" s="28">
        <f t="shared" si="186"/>
        <v>40</v>
      </c>
      <c r="U274" s="28">
        <f t="shared" si="186"/>
        <v>40</v>
      </c>
      <c r="V274" s="28">
        <f t="shared" si="186"/>
        <v>37</v>
      </c>
      <c r="W274" s="28">
        <f t="shared" si="186"/>
        <v>45</v>
      </c>
      <c r="X274" s="28">
        <f t="shared" si="186"/>
        <v>38</v>
      </c>
      <c r="Y274" s="28">
        <f t="shared" si="186"/>
        <v>38</v>
      </c>
      <c r="Z274" s="28">
        <f t="shared" si="186"/>
        <v>43</v>
      </c>
      <c r="AA274" s="28">
        <f t="shared" si="186"/>
        <v>44</v>
      </c>
      <c r="AB274" s="28">
        <f t="shared" si="186"/>
        <v>45</v>
      </c>
      <c r="AC274" s="28">
        <f t="shared" si="186"/>
        <v>43</v>
      </c>
      <c r="AD274" s="28">
        <f t="shared" si="186"/>
        <v>42</v>
      </c>
      <c r="AE274" s="28">
        <f t="shared" si="186"/>
        <v>37</v>
      </c>
      <c r="AF274" s="28">
        <f t="shared" si="186"/>
        <v>48</v>
      </c>
      <c r="AG274" s="28">
        <f t="shared" si="186"/>
        <v>34</v>
      </c>
      <c r="AH274" s="28">
        <f t="shared" si="186"/>
        <v>45</v>
      </c>
      <c r="AI274" s="28">
        <f t="shared" si="186"/>
        <v>39</v>
      </c>
      <c r="AJ274" s="28">
        <f t="shared" si="186"/>
        <v>45</v>
      </c>
      <c r="AK274" s="28">
        <f t="shared" si="186"/>
        <v>43</v>
      </c>
      <c r="AL274" s="28">
        <f t="shared" si="186"/>
        <v>45</v>
      </c>
      <c r="AM274" s="28">
        <f t="shared" si="186"/>
        <v>47</v>
      </c>
      <c r="AN274" s="28">
        <f t="shared" si="186"/>
        <v>42</v>
      </c>
      <c r="AO274" s="28">
        <f t="shared" si="186"/>
        <v>40</v>
      </c>
      <c r="AP274" s="28">
        <f t="shared" si="186"/>
        <v>42</v>
      </c>
      <c r="AQ274" s="28">
        <f t="shared" ref="AQ274:AW274" si="187">AQ270+AQ271+AQ272</f>
        <v>45</v>
      </c>
      <c r="AR274" s="28">
        <f t="shared" si="187"/>
        <v>43</v>
      </c>
      <c r="AS274" s="28">
        <f t="shared" si="187"/>
        <v>39</v>
      </c>
      <c r="AT274" s="28">
        <f t="shared" si="187"/>
        <v>39</v>
      </c>
      <c r="AU274" s="28">
        <f t="shared" si="187"/>
        <v>46</v>
      </c>
      <c r="AV274" s="28">
        <f t="shared" si="187"/>
        <v>47</v>
      </c>
      <c r="AW274" s="28">
        <f t="shared" si="187"/>
        <v>37</v>
      </c>
      <c r="AX274" s="28"/>
      <c r="AY274" s="31">
        <f>IF(SUM(AU274:AW274)&gt;=0,AVERAGE(AU274:AW274),"")</f>
        <v>43.333333333333336</v>
      </c>
      <c r="AZ274" s="5">
        <f>IF(SUM(AS274:AW274)&gt;=0,AVERAGE(AS274:AW274),"")</f>
        <v>41.6</v>
      </c>
      <c r="BA274" s="5">
        <f>IF(SUM(AN274:AW274)&gt;=0,AVERAGE(AN274:AW274),"")</f>
        <v>42</v>
      </c>
      <c r="BB274" s="5"/>
      <c r="BC274" s="32">
        <f>(AW274-BA274)/BA274</f>
        <v>-0.11904761904761904</v>
      </c>
    </row>
    <row r="275" spans="2:56" ht="11.25" customHeight="1"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4"/>
      <c r="AZ275" s="4"/>
      <c r="BA275" s="4"/>
    </row>
    <row r="276" spans="2:56" ht="11.25" customHeight="1"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4"/>
      <c r="AZ276" s="4"/>
      <c r="BA276" s="4"/>
    </row>
    <row r="277" spans="2:56" ht="22.5" customHeight="1">
      <c r="B277" s="50" t="s">
        <v>259</v>
      </c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20"/>
      <c r="BC277" s="20"/>
      <c r="BD277" s="20"/>
    </row>
    <row r="278" spans="2:56" ht="11.25" customHeight="1"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4"/>
      <c r="AZ278" s="4"/>
      <c r="BA278" s="4"/>
    </row>
    <row r="279" spans="2:56" s="40" customFormat="1" ht="11.25" customHeight="1">
      <c r="B279" s="52" t="s">
        <v>260</v>
      </c>
      <c r="C279" s="40" t="s">
        <v>261</v>
      </c>
      <c r="D279" s="40" t="s">
        <v>262</v>
      </c>
      <c r="E279" s="40">
        <v>41</v>
      </c>
      <c r="F279" s="40">
        <v>48</v>
      </c>
      <c r="G279" s="40">
        <v>37</v>
      </c>
      <c r="H279" s="40">
        <v>33</v>
      </c>
      <c r="I279" s="40">
        <v>35</v>
      </c>
      <c r="J279" s="40">
        <v>29</v>
      </c>
      <c r="K279" s="40">
        <v>39</v>
      </c>
      <c r="L279" s="40">
        <v>28</v>
      </c>
      <c r="M279" s="40">
        <v>35</v>
      </c>
      <c r="N279" s="40">
        <v>37</v>
      </c>
      <c r="O279" s="40">
        <v>15</v>
      </c>
      <c r="P279" s="40">
        <v>31</v>
      </c>
      <c r="Q279" s="40">
        <v>38</v>
      </c>
      <c r="R279" s="40">
        <v>40</v>
      </c>
      <c r="S279" s="40">
        <v>41</v>
      </c>
      <c r="T279" s="40">
        <v>37</v>
      </c>
      <c r="U279" s="40">
        <v>50</v>
      </c>
      <c r="V279" s="40">
        <v>73</v>
      </c>
      <c r="W279" s="40">
        <f>1+56</f>
        <v>57</v>
      </c>
      <c r="X279" s="40">
        <v>50</v>
      </c>
      <c r="Y279" s="40">
        <v>64</v>
      </c>
      <c r="Z279" s="40">
        <v>78</v>
      </c>
      <c r="AA279" s="40">
        <f>1+52</f>
        <v>53</v>
      </c>
      <c r="AB279" s="40">
        <v>62</v>
      </c>
      <c r="AC279" s="40">
        <v>66</v>
      </c>
      <c r="AD279" s="40">
        <v>36</v>
      </c>
      <c r="AE279" s="40">
        <v>64</v>
      </c>
      <c r="AF279" s="40">
        <v>46</v>
      </c>
      <c r="AG279" s="40">
        <v>45</v>
      </c>
      <c r="AH279" s="40">
        <v>54</v>
      </c>
      <c r="AI279" s="40">
        <v>66</v>
      </c>
      <c r="AJ279" s="40">
        <v>59</v>
      </c>
      <c r="AK279" s="40">
        <v>62</v>
      </c>
      <c r="AL279" s="40">
        <v>58</v>
      </c>
      <c r="AM279" s="40">
        <v>67</v>
      </c>
      <c r="AN279" s="40">
        <v>47</v>
      </c>
      <c r="AO279" s="40">
        <v>72</v>
      </c>
      <c r="AP279" s="40">
        <v>60</v>
      </c>
      <c r="AQ279" s="1">
        <v>54</v>
      </c>
      <c r="AR279" s="40">
        <v>76</v>
      </c>
      <c r="AS279" s="40">
        <v>90</v>
      </c>
      <c r="AT279" s="40">
        <v>81</v>
      </c>
      <c r="AU279" s="40">
        <v>70</v>
      </c>
      <c r="AV279" s="40">
        <v>65</v>
      </c>
      <c r="AW279" s="40">
        <v>74</v>
      </c>
      <c r="AY279" s="41">
        <f t="shared" ref="AY279:AY280" si="188">IF(SUM(AU279:AW279)&gt;=0,AVERAGE(AU279:AW279),"")</f>
        <v>69.666666666666671</v>
      </c>
      <c r="AZ279" s="42">
        <f t="shared" ref="AZ279:AZ280" si="189">IF(SUM(AS279:AW279)&gt;=0,AVERAGE(AS279:AW279),"")</f>
        <v>76</v>
      </c>
      <c r="BA279" s="45" t="s">
        <v>22</v>
      </c>
      <c r="BC279" s="46"/>
    </row>
    <row r="280" spans="2:56" s="40" customFormat="1" ht="11.25" customHeight="1">
      <c r="B280" s="52"/>
      <c r="D280" s="40" t="s">
        <v>263</v>
      </c>
      <c r="I280" s="44" t="s">
        <v>29</v>
      </c>
      <c r="J280" s="44" t="s">
        <v>29</v>
      </c>
      <c r="K280" s="44" t="s">
        <v>29</v>
      </c>
      <c r="L280" s="44" t="s">
        <v>29</v>
      </c>
      <c r="M280" s="44" t="s">
        <v>29</v>
      </c>
      <c r="N280" s="44" t="s">
        <v>29</v>
      </c>
      <c r="O280" s="44" t="s">
        <v>29</v>
      </c>
      <c r="P280" s="44" t="s">
        <v>29</v>
      </c>
      <c r="Q280" s="44" t="s">
        <v>29</v>
      </c>
      <c r="R280" s="44" t="s">
        <v>29</v>
      </c>
      <c r="S280" s="44" t="s">
        <v>29</v>
      </c>
      <c r="T280" s="44" t="s">
        <v>29</v>
      </c>
      <c r="U280" s="44" t="s">
        <v>29</v>
      </c>
      <c r="V280" s="44" t="s">
        <v>29</v>
      </c>
      <c r="W280" s="44"/>
      <c r="X280" s="44"/>
      <c r="Y280" s="44"/>
      <c r="Z280" s="40">
        <v>0</v>
      </c>
      <c r="AA280" s="40">
        <v>1</v>
      </c>
      <c r="AB280" s="40">
        <v>14</v>
      </c>
      <c r="AC280" s="40">
        <v>28</v>
      </c>
      <c r="AD280" s="40">
        <v>26</v>
      </c>
      <c r="AE280" s="40">
        <v>31</v>
      </c>
      <c r="AF280" s="40">
        <v>43</v>
      </c>
      <c r="AG280" s="40">
        <v>36</v>
      </c>
      <c r="AH280" s="40">
        <v>33</v>
      </c>
      <c r="AI280" s="40">
        <v>37</v>
      </c>
      <c r="AJ280" s="40">
        <v>43</v>
      </c>
      <c r="AK280" s="40">
        <v>31</v>
      </c>
      <c r="AL280" s="40">
        <v>57</v>
      </c>
      <c r="AM280" s="40">
        <v>34</v>
      </c>
      <c r="AN280" s="40">
        <v>53</v>
      </c>
      <c r="AO280" s="40">
        <v>58</v>
      </c>
      <c r="AP280" s="40">
        <v>38</v>
      </c>
      <c r="AQ280" s="1">
        <v>33</v>
      </c>
      <c r="AR280" s="40">
        <v>54</v>
      </c>
      <c r="AS280" s="40">
        <v>52</v>
      </c>
      <c r="AT280" s="40">
        <v>71</v>
      </c>
      <c r="AU280" s="40">
        <v>61</v>
      </c>
      <c r="AV280" s="40">
        <v>57</v>
      </c>
      <c r="AW280" s="40">
        <v>76</v>
      </c>
      <c r="AY280" s="41">
        <f t="shared" si="188"/>
        <v>64.666666666666671</v>
      </c>
      <c r="AZ280" s="42">
        <f t="shared" si="189"/>
        <v>63.4</v>
      </c>
      <c r="BA280" s="45" t="s">
        <v>22</v>
      </c>
      <c r="BC280" s="46"/>
    </row>
    <row r="281" spans="2:56" ht="11.25" customHeight="1">
      <c r="AY281" s="3"/>
      <c r="AZ281" s="3"/>
      <c r="BA281" s="3"/>
    </row>
    <row r="282" spans="2:56" ht="11.25" customHeight="1">
      <c r="AY282" s="3"/>
      <c r="AZ282" s="3"/>
      <c r="BA282" s="3"/>
    </row>
    <row r="283" spans="2:56" ht="11.25" customHeight="1">
      <c r="B283" s="36" t="s">
        <v>158</v>
      </c>
      <c r="D283" s="27" t="s">
        <v>160</v>
      </c>
      <c r="E283" s="1">
        <f t="shared" ref="E283:AL284" si="190">E279</f>
        <v>41</v>
      </c>
      <c r="F283" s="1">
        <f t="shared" si="190"/>
        <v>48</v>
      </c>
      <c r="G283" s="1">
        <f t="shared" si="190"/>
        <v>37</v>
      </c>
      <c r="H283" s="1">
        <f t="shared" si="190"/>
        <v>33</v>
      </c>
      <c r="I283" s="1">
        <f t="shared" si="190"/>
        <v>35</v>
      </c>
      <c r="J283" s="1">
        <f t="shared" si="190"/>
        <v>29</v>
      </c>
      <c r="K283" s="1">
        <f t="shared" si="190"/>
        <v>39</v>
      </c>
      <c r="L283" s="1">
        <f t="shared" si="190"/>
        <v>28</v>
      </c>
      <c r="M283" s="1">
        <f t="shared" si="190"/>
        <v>35</v>
      </c>
      <c r="N283" s="1">
        <f t="shared" si="190"/>
        <v>37</v>
      </c>
      <c r="O283" s="1">
        <f t="shared" si="190"/>
        <v>15</v>
      </c>
      <c r="P283" s="1">
        <f t="shared" si="190"/>
        <v>31</v>
      </c>
      <c r="Q283" s="1">
        <f t="shared" si="190"/>
        <v>38</v>
      </c>
      <c r="R283" s="1">
        <f t="shared" si="190"/>
        <v>40</v>
      </c>
      <c r="S283" s="1">
        <f t="shared" si="190"/>
        <v>41</v>
      </c>
      <c r="T283" s="1">
        <f t="shared" si="190"/>
        <v>37</v>
      </c>
      <c r="U283" s="1">
        <f t="shared" si="190"/>
        <v>50</v>
      </c>
      <c r="V283" s="1">
        <f t="shared" si="190"/>
        <v>73</v>
      </c>
      <c r="W283" s="1">
        <f t="shared" si="190"/>
        <v>57</v>
      </c>
      <c r="X283" s="1">
        <f t="shared" si="190"/>
        <v>50</v>
      </c>
      <c r="Y283" s="1">
        <f t="shared" si="190"/>
        <v>64</v>
      </c>
      <c r="Z283" s="1">
        <f t="shared" si="190"/>
        <v>78</v>
      </c>
      <c r="AA283" s="1">
        <f t="shared" si="190"/>
        <v>53</v>
      </c>
      <c r="AB283" s="1">
        <f t="shared" si="190"/>
        <v>62</v>
      </c>
      <c r="AC283" s="1">
        <f t="shared" si="190"/>
        <v>66</v>
      </c>
      <c r="AD283" s="1">
        <f t="shared" si="190"/>
        <v>36</v>
      </c>
      <c r="AE283" s="1">
        <f t="shared" si="190"/>
        <v>64</v>
      </c>
      <c r="AF283" s="1">
        <f t="shared" si="190"/>
        <v>46</v>
      </c>
      <c r="AG283" s="1">
        <f t="shared" si="190"/>
        <v>45</v>
      </c>
      <c r="AH283" s="1">
        <f t="shared" si="190"/>
        <v>54</v>
      </c>
      <c r="AI283" s="1">
        <f t="shared" si="190"/>
        <v>66</v>
      </c>
      <c r="AJ283" s="1">
        <f t="shared" si="190"/>
        <v>59</v>
      </c>
      <c r="AK283" s="1">
        <f t="shared" si="190"/>
        <v>62</v>
      </c>
      <c r="AL283" s="1">
        <f t="shared" si="190"/>
        <v>58</v>
      </c>
      <c r="AM283" s="1">
        <f t="shared" ref="AM283:AV284" si="191">AM279</f>
        <v>67</v>
      </c>
      <c r="AN283" s="1">
        <f t="shared" si="191"/>
        <v>47</v>
      </c>
      <c r="AO283" s="1">
        <f t="shared" si="191"/>
        <v>72</v>
      </c>
      <c r="AP283" s="1">
        <f t="shared" si="191"/>
        <v>60</v>
      </c>
      <c r="AQ283" s="1">
        <f t="shared" si="191"/>
        <v>54</v>
      </c>
      <c r="AR283" s="1">
        <f t="shared" si="191"/>
        <v>76</v>
      </c>
      <c r="AS283" s="1">
        <f t="shared" si="191"/>
        <v>90</v>
      </c>
      <c r="AT283" s="1">
        <f t="shared" si="191"/>
        <v>81</v>
      </c>
      <c r="AU283" s="1">
        <f t="shared" si="191"/>
        <v>70</v>
      </c>
      <c r="AV283" s="1">
        <f t="shared" si="191"/>
        <v>65</v>
      </c>
      <c r="AW283" s="1">
        <f>AW279</f>
        <v>74</v>
      </c>
      <c r="AY283" s="31">
        <f t="shared" ref="AY283" si="192">IF(SUM(AU283:AW283)&gt;=0,AVERAGE(AU283:AW283),"")</f>
        <v>69.666666666666671</v>
      </c>
      <c r="AZ283" s="5">
        <f t="shared" ref="AZ283" si="193">IF(SUM(AS283:AW283)&gt;=0,AVERAGE(AS283:AW283),"")</f>
        <v>76</v>
      </c>
      <c r="BA283" s="3" t="s">
        <v>22</v>
      </c>
      <c r="BC283" s="33"/>
    </row>
    <row r="284" spans="2:56" ht="11.25" customHeight="1">
      <c r="D284" s="27" t="s">
        <v>162</v>
      </c>
      <c r="E284" s="1">
        <f t="shared" si="190"/>
        <v>0</v>
      </c>
      <c r="F284" s="1">
        <f t="shared" si="190"/>
        <v>0</v>
      </c>
      <c r="G284" s="1">
        <f t="shared" si="190"/>
        <v>0</v>
      </c>
      <c r="H284" s="1">
        <f t="shared" si="190"/>
        <v>0</v>
      </c>
      <c r="I284" s="1" t="str">
        <f t="shared" si="190"/>
        <v>-</v>
      </c>
      <c r="J284" s="1" t="str">
        <f t="shared" si="190"/>
        <v>-</v>
      </c>
      <c r="K284" s="1" t="str">
        <f t="shared" si="190"/>
        <v>-</v>
      </c>
      <c r="L284" s="1" t="str">
        <f t="shared" si="190"/>
        <v>-</v>
      </c>
      <c r="M284" s="1" t="str">
        <f t="shared" si="190"/>
        <v>-</v>
      </c>
      <c r="N284" s="1" t="str">
        <f t="shared" si="190"/>
        <v>-</v>
      </c>
      <c r="O284" s="1" t="str">
        <f t="shared" si="190"/>
        <v>-</v>
      </c>
      <c r="P284" s="1" t="str">
        <f t="shared" si="190"/>
        <v>-</v>
      </c>
      <c r="Q284" s="1" t="str">
        <f t="shared" si="190"/>
        <v>-</v>
      </c>
      <c r="R284" s="1" t="str">
        <f t="shared" si="190"/>
        <v>-</v>
      </c>
      <c r="S284" s="1" t="str">
        <f t="shared" si="190"/>
        <v>-</v>
      </c>
      <c r="T284" s="1" t="str">
        <f t="shared" si="190"/>
        <v>-</v>
      </c>
      <c r="U284" s="1" t="str">
        <f t="shared" si="190"/>
        <v>-</v>
      </c>
      <c r="V284" s="1" t="str">
        <f t="shared" si="190"/>
        <v>-</v>
      </c>
      <c r="W284" s="1">
        <f t="shared" si="190"/>
        <v>0</v>
      </c>
      <c r="X284" s="1">
        <f t="shared" si="190"/>
        <v>0</v>
      </c>
      <c r="Y284" s="1">
        <f t="shared" si="190"/>
        <v>0</v>
      </c>
      <c r="Z284" s="1">
        <f t="shared" si="190"/>
        <v>0</v>
      </c>
      <c r="AA284" s="1">
        <f t="shared" si="190"/>
        <v>1</v>
      </c>
      <c r="AB284" s="1">
        <f t="shared" si="190"/>
        <v>14</v>
      </c>
      <c r="AC284" s="1">
        <f t="shared" si="190"/>
        <v>28</v>
      </c>
      <c r="AD284" s="1">
        <f t="shared" si="190"/>
        <v>26</v>
      </c>
      <c r="AE284" s="1">
        <f t="shared" si="190"/>
        <v>31</v>
      </c>
      <c r="AF284" s="1">
        <f t="shared" si="190"/>
        <v>43</v>
      </c>
      <c r="AG284" s="1">
        <f t="shared" si="190"/>
        <v>36</v>
      </c>
      <c r="AH284" s="1">
        <f t="shared" si="190"/>
        <v>33</v>
      </c>
      <c r="AI284" s="1">
        <f t="shared" si="190"/>
        <v>37</v>
      </c>
      <c r="AJ284" s="1">
        <f t="shared" si="190"/>
        <v>43</v>
      </c>
      <c r="AK284" s="1">
        <f t="shared" si="190"/>
        <v>31</v>
      </c>
      <c r="AL284" s="1">
        <f t="shared" si="190"/>
        <v>57</v>
      </c>
      <c r="AM284" s="1">
        <f t="shared" si="191"/>
        <v>34</v>
      </c>
      <c r="AN284" s="1">
        <f t="shared" si="191"/>
        <v>53</v>
      </c>
      <c r="AO284" s="1">
        <f t="shared" si="191"/>
        <v>58</v>
      </c>
      <c r="AP284" s="1">
        <f t="shared" si="191"/>
        <v>38</v>
      </c>
      <c r="AQ284" s="1">
        <f t="shared" ref="AQ284:AV284" si="194">AQ280</f>
        <v>33</v>
      </c>
      <c r="AR284" s="1">
        <f t="shared" si="194"/>
        <v>54</v>
      </c>
      <c r="AS284" s="1">
        <f t="shared" si="194"/>
        <v>52</v>
      </c>
      <c r="AT284" s="1">
        <f t="shared" si="194"/>
        <v>71</v>
      </c>
      <c r="AU284" s="1">
        <f t="shared" si="194"/>
        <v>61</v>
      </c>
      <c r="AV284" s="1">
        <f t="shared" si="194"/>
        <v>57</v>
      </c>
      <c r="AW284" s="1">
        <f>AW280</f>
        <v>76</v>
      </c>
      <c r="AY284" s="31">
        <f t="shared" ref="AY284" si="195">IF(SUM(AU284:AW284)&gt;=0,AVERAGE(AU284:AW284),"")</f>
        <v>64.666666666666671</v>
      </c>
      <c r="AZ284" s="5">
        <f t="shared" ref="AZ284" si="196">IF(SUM(AS284:AW284)&gt;=0,AVERAGE(AS284:AW284),"")</f>
        <v>63.4</v>
      </c>
      <c r="BA284" s="3" t="s">
        <v>22</v>
      </c>
      <c r="BC284" s="33"/>
    </row>
    <row r="285" spans="2:56" ht="11.25" customHeight="1">
      <c r="AY285" s="3"/>
      <c r="AZ285" s="3"/>
      <c r="BA285" s="3"/>
    </row>
    <row r="286" spans="2:56" ht="11.25" customHeight="1">
      <c r="B286" s="36" t="s">
        <v>267</v>
      </c>
      <c r="D286" s="1" t="s">
        <v>165</v>
      </c>
      <c r="E286" s="1">
        <f t="shared" ref="E286:AW286" si="197">SUM(E283:E284)</f>
        <v>41</v>
      </c>
      <c r="F286" s="1">
        <f t="shared" si="197"/>
        <v>48</v>
      </c>
      <c r="G286" s="1">
        <f t="shared" si="197"/>
        <v>37</v>
      </c>
      <c r="H286" s="1">
        <f t="shared" si="197"/>
        <v>33</v>
      </c>
      <c r="I286" s="1">
        <f t="shared" si="197"/>
        <v>35</v>
      </c>
      <c r="J286" s="1">
        <f t="shared" si="197"/>
        <v>29</v>
      </c>
      <c r="K286" s="1">
        <f t="shared" si="197"/>
        <v>39</v>
      </c>
      <c r="L286" s="1">
        <f t="shared" si="197"/>
        <v>28</v>
      </c>
      <c r="M286" s="1">
        <f t="shared" si="197"/>
        <v>35</v>
      </c>
      <c r="N286" s="1">
        <f t="shared" si="197"/>
        <v>37</v>
      </c>
      <c r="O286" s="1">
        <f t="shared" si="197"/>
        <v>15</v>
      </c>
      <c r="P286" s="1">
        <f t="shared" si="197"/>
        <v>31</v>
      </c>
      <c r="Q286" s="1">
        <f t="shared" si="197"/>
        <v>38</v>
      </c>
      <c r="R286" s="1">
        <f t="shared" si="197"/>
        <v>40</v>
      </c>
      <c r="S286" s="1">
        <f t="shared" si="197"/>
        <v>41</v>
      </c>
      <c r="T286" s="1">
        <f t="shared" si="197"/>
        <v>37</v>
      </c>
      <c r="U286" s="1">
        <f t="shared" si="197"/>
        <v>50</v>
      </c>
      <c r="V286" s="1">
        <f t="shared" si="197"/>
        <v>73</v>
      </c>
      <c r="W286" s="1">
        <f t="shared" si="197"/>
        <v>57</v>
      </c>
      <c r="X286" s="1">
        <f t="shared" si="197"/>
        <v>50</v>
      </c>
      <c r="Y286" s="1">
        <f t="shared" si="197"/>
        <v>64</v>
      </c>
      <c r="Z286" s="1">
        <f t="shared" si="197"/>
        <v>78</v>
      </c>
      <c r="AA286" s="1">
        <f t="shared" si="197"/>
        <v>54</v>
      </c>
      <c r="AB286" s="1">
        <f t="shared" si="197"/>
        <v>76</v>
      </c>
      <c r="AC286" s="1">
        <f t="shared" si="197"/>
        <v>94</v>
      </c>
      <c r="AD286" s="1">
        <f t="shared" si="197"/>
        <v>62</v>
      </c>
      <c r="AE286" s="1">
        <f t="shared" si="197"/>
        <v>95</v>
      </c>
      <c r="AF286" s="1">
        <f t="shared" si="197"/>
        <v>89</v>
      </c>
      <c r="AG286" s="1">
        <f t="shared" si="197"/>
        <v>81</v>
      </c>
      <c r="AH286" s="1">
        <f t="shared" si="197"/>
        <v>87</v>
      </c>
      <c r="AI286" s="1">
        <f t="shared" si="197"/>
        <v>103</v>
      </c>
      <c r="AJ286" s="1">
        <f>SUM(AJ283:AJ284)</f>
        <v>102</v>
      </c>
      <c r="AK286" s="1">
        <f t="shared" si="197"/>
        <v>93</v>
      </c>
      <c r="AL286" s="1">
        <f t="shared" si="197"/>
        <v>115</v>
      </c>
      <c r="AM286" s="1">
        <f t="shared" si="197"/>
        <v>101</v>
      </c>
      <c r="AN286" s="1">
        <f t="shared" si="197"/>
        <v>100</v>
      </c>
      <c r="AO286" s="1">
        <f t="shared" si="197"/>
        <v>130</v>
      </c>
      <c r="AP286" s="1">
        <f t="shared" si="197"/>
        <v>98</v>
      </c>
      <c r="AQ286" s="1">
        <f t="shared" si="197"/>
        <v>87</v>
      </c>
      <c r="AR286" s="1">
        <f t="shared" si="197"/>
        <v>130</v>
      </c>
      <c r="AS286" s="1">
        <f t="shared" si="197"/>
        <v>142</v>
      </c>
      <c r="AT286" s="1">
        <f t="shared" si="197"/>
        <v>152</v>
      </c>
      <c r="AU286" s="1">
        <f t="shared" si="197"/>
        <v>131</v>
      </c>
      <c r="AV286" s="1">
        <f t="shared" si="197"/>
        <v>122</v>
      </c>
      <c r="AW286" s="1">
        <f t="shared" si="197"/>
        <v>150</v>
      </c>
      <c r="AY286" s="31">
        <f>IF(SUM(AU286:AW286)&gt;=0,AVERAGE(AU286:AW286),"")</f>
        <v>134.33333333333334</v>
      </c>
      <c r="AZ286" s="5">
        <f>IF(SUM(AS286:AW286)&gt;=0,AVERAGE(AS286:AW286),"")</f>
        <v>139.4</v>
      </c>
      <c r="BA286" s="3" t="s">
        <v>22</v>
      </c>
      <c r="BC286" s="33"/>
    </row>
    <row r="287" spans="2:56" ht="11.25" customHeight="1">
      <c r="AY287" s="4"/>
      <c r="AZ287" s="4"/>
      <c r="BA287" s="4"/>
    </row>
    <row r="288" spans="2:56" ht="11.25" customHeight="1">
      <c r="AY288" s="4"/>
      <c r="AZ288" s="4"/>
      <c r="BA288" s="4"/>
    </row>
    <row r="289" spans="2:56" ht="22.5" customHeight="1">
      <c r="B289" s="50" t="s">
        <v>268</v>
      </c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</row>
    <row r="290" spans="2:56" ht="11.25" customHeight="1">
      <c r="B290" s="51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4" t="str">
        <f>IF(AB290&gt;0,IF(AB290&gt;9,(AB290-AA290)/AA290,"&lt;10 cases"),"")</f>
        <v/>
      </c>
      <c r="AZ290" s="4" t="str">
        <f>IF(AB290&gt;0,IF(AB290&gt;9,(AB290-(SUM(W290:AA290)/5))/(SUM(W290:AA290)/5), "&lt;10 cases"), "")</f>
        <v/>
      </c>
      <c r="BA290" s="4" t="str">
        <f>IF(AB290&gt;0,IF(AB290&gt;9,(AB290-(SUM(R290:AA290)/10))/(SUM(R290:AA290)/10),"&lt; 10 cases"),"")</f>
        <v/>
      </c>
    </row>
    <row r="291" spans="2:56" ht="11.25" customHeight="1">
      <c r="B291" s="36" t="s">
        <v>269</v>
      </c>
      <c r="C291" s="1" t="s">
        <v>270</v>
      </c>
      <c r="D291" s="1" t="s">
        <v>271</v>
      </c>
      <c r="I291" s="25" t="s">
        <v>29</v>
      </c>
      <c r="J291" s="25" t="s">
        <v>29</v>
      </c>
      <c r="K291" s="25" t="s">
        <v>29</v>
      </c>
      <c r="L291" s="25" t="s">
        <v>29</v>
      </c>
      <c r="M291" s="25" t="s">
        <v>29</v>
      </c>
      <c r="N291" s="25" t="s">
        <v>29</v>
      </c>
      <c r="O291" s="25" t="s">
        <v>29</v>
      </c>
      <c r="P291" s="25" t="s">
        <v>29</v>
      </c>
      <c r="Q291" s="25" t="s">
        <v>29</v>
      </c>
      <c r="R291" s="25" t="s">
        <v>29</v>
      </c>
      <c r="S291" s="25" t="s">
        <v>29</v>
      </c>
      <c r="T291" s="25" t="s">
        <v>29</v>
      </c>
      <c r="U291" s="25" t="s">
        <v>29</v>
      </c>
      <c r="V291" s="1">
        <v>0</v>
      </c>
      <c r="W291" s="1">
        <v>0</v>
      </c>
      <c r="X291" s="1">
        <v>0</v>
      </c>
      <c r="Y291" s="1">
        <v>2</v>
      </c>
      <c r="Z291" s="1">
        <v>6</v>
      </c>
      <c r="AA291" s="1">
        <v>5</v>
      </c>
      <c r="AB291" s="1">
        <v>12</v>
      </c>
      <c r="AC291" s="1">
        <v>2</v>
      </c>
      <c r="AD291" s="1">
        <v>9</v>
      </c>
      <c r="AE291" s="1">
        <v>8</v>
      </c>
      <c r="AF291" s="1">
        <v>12</v>
      </c>
      <c r="AG291" s="1">
        <v>5</v>
      </c>
      <c r="AH291" s="1">
        <v>10</v>
      </c>
      <c r="AI291" s="1">
        <v>17</v>
      </c>
      <c r="AJ291" s="1">
        <v>10</v>
      </c>
      <c r="AK291" s="1">
        <v>12</v>
      </c>
      <c r="AL291" s="1">
        <v>11</v>
      </c>
      <c r="AM291" s="1">
        <v>18</v>
      </c>
      <c r="AN291" s="1">
        <v>17</v>
      </c>
      <c r="AO291" s="1">
        <v>12</v>
      </c>
      <c r="AP291" s="1">
        <v>25</v>
      </c>
      <c r="AQ291" s="1">
        <v>15</v>
      </c>
      <c r="AR291" s="1">
        <v>18</v>
      </c>
      <c r="AS291" s="1">
        <v>13</v>
      </c>
      <c r="AT291" s="1">
        <v>13</v>
      </c>
      <c r="AU291" s="1">
        <v>3</v>
      </c>
      <c r="AV291" s="1">
        <v>18</v>
      </c>
      <c r="AW291" s="1">
        <v>19</v>
      </c>
      <c r="AY291" s="31">
        <f t="shared" ref="AY291:AY293" si="198">IF(SUM(AU291:AW291)&gt;=0,AVERAGE(AU291:AW291),"")</f>
        <v>13.333333333333334</v>
      </c>
      <c r="AZ291" s="5">
        <f t="shared" ref="AZ291:AZ293" si="199">IF(SUM(AS291:AW291)&gt;=0,AVERAGE(AS291:AW291),"")</f>
        <v>13.2</v>
      </c>
      <c r="BA291" s="5">
        <f>IF(SUM(AN291:AW291)&gt;=0,AVERAGE(AN291:AW291),"")</f>
        <v>15.3</v>
      </c>
      <c r="BB291" s="5"/>
      <c r="BC291" s="32">
        <f>(AW291-BA291)/BA291</f>
        <v>0.24183006535947707</v>
      </c>
    </row>
    <row r="292" spans="2:56" ht="11.25" customHeight="1">
      <c r="C292" s="1" t="s">
        <v>272</v>
      </c>
      <c r="D292" s="1" t="s">
        <v>273</v>
      </c>
      <c r="I292" s="25" t="s">
        <v>29</v>
      </c>
      <c r="J292" s="25" t="s">
        <v>29</v>
      </c>
      <c r="K292" s="25" t="s">
        <v>29</v>
      </c>
      <c r="L292" s="25" t="s">
        <v>29</v>
      </c>
      <c r="M292" s="25" t="s">
        <v>29</v>
      </c>
      <c r="N292" s="25" t="s">
        <v>29</v>
      </c>
      <c r="O292" s="25" t="s">
        <v>29</v>
      </c>
      <c r="P292" s="25" t="s">
        <v>29</v>
      </c>
      <c r="Q292" s="25" t="s">
        <v>29</v>
      </c>
      <c r="R292" s="25" t="s">
        <v>29</v>
      </c>
      <c r="S292" s="25" t="s">
        <v>29</v>
      </c>
      <c r="T292" s="25" t="s">
        <v>29</v>
      </c>
      <c r="U292" s="1">
        <v>0</v>
      </c>
      <c r="V292" s="1">
        <v>1</v>
      </c>
      <c r="W292" s="1">
        <v>2</v>
      </c>
      <c r="X292" s="1">
        <v>3</v>
      </c>
      <c r="Y292" s="1">
        <v>11</v>
      </c>
      <c r="Z292" s="1">
        <f>5+1</f>
        <v>6</v>
      </c>
      <c r="AA292" s="1">
        <v>7</v>
      </c>
      <c r="AB292" s="1">
        <v>13</v>
      </c>
      <c r="AC292" s="1">
        <v>17</v>
      </c>
      <c r="AD292" s="1">
        <v>7</v>
      </c>
      <c r="AE292" s="1">
        <v>21</v>
      </c>
      <c r="AF292" s="1">
        <v>21</v>
      </c>
      <c r="AG292" s="1">
        <v>23</v>
      </c>
      <c r="AH292" s="1">
        <v>20</v>
      </c>
      <c r="AI292" s="1">
        <v>18</v>
      </c>
      <c r="AJ292" s="1">
        <v>30</v>
      </c>
      <c r="AK292" s="1">
        <v>23</v>
      </c>
      <c r="AL292" s="1">
        <v>29</v>
      </c>
      <c r="AM292" s="1">
        <v>20</v>
      </c>
      <c r="AN292" s="1">
        <v>17</v>
      </c>
      <c r="AO292" s="1">
        <v>23</v>
      </c>
      <c r="AP292" s="1">
        <v>36</v>
      </c>
      <c r="AQ292" s="1">
        <v>40</v>
      </c>
      <c r="AR292" s="1">
        <v>37</v>
      </c>
      <c r="AS292" s="1">
        <v>21</v>
      </c>
      <c r="AT292" s="1">
        <v>19</v>
      </c>
      <c r="AU292" s="1">
        <v>33</v>
      </c>
      <c r="AV292" s="1">
        <v>26</v>
      </c>
      <c r="AW292" s="1">
        <v>22</v>
      </c>
      <c r="AY292" s="31">
        <f t="shared" si="198"/>
        <v>27</v>
      </c>
      <c r="AZ292" s="5">
        <f t="shared" si="199"/>
        <v>24.2</v>
      </c>
      <c r="BA292" s="5">
        <f t="shared" ref="BA292:BA293" si="200">IF(SUM(AN292:AW292)&gt;=0,AVERAGE(AN292:AW292),"")</f>
        <v>27.4</v>
      </c>
      <c r="BB292" s="5"/>
      <c r="BC292" s="32">
        <f t="shared" ref="BC292:BC293" si="201">(AW292-BA292)/BA292</f>
        <v>-0.19708029197080287</v>
      </c>
    </row>
    <row r="293" spans="2:56" ht="11.25" customHeight="1">
      <c r="C293" s="1" t="s">
        <v>274</v>
      </c>
      <c r="D293" s="1" t="s">
        <v>275</v>
      </c>
      <c r="I293" s="25" t="s">
        <v>29</v>
      </c>
      <c r="J293" s="25" t="s">
        <v>29</v>
      </c>
      <c r="K293" s="25" t="s">
        <v>29</v>
      </c>
      <c r="L293" s="25" t="s">
        <v>29</v>
      </c>
      <c r="M293" s="25" t="s">
        <v>29</v>
      </c>
      <c r="N293" s="25" t="s">
        <v>29</v>
      </c>
      <c r="O293" s="25" t="s">
        <v>29</v>
      </c>
      <c r="P293" s="25" t="s">
        <v>29</v>
      </c>
      <c r="Q293" s="25" t="s">
        <v>29</v>
      </c>
      <c r="R293" s="25" t="s">
        <v>29</v>
      </c>
      <c r="S293" s="25" t="s">
        <v>29</v>
      </c>
      <c r="T293" s="25" t="s">
        <v>29</v>
      </c>
      <c r="U293" s="1">
        <v>0</v>
      </c>
      <c r="V293" s="1">
        <v>0</v>
      </c>
      <c r="W293" s="1">
        <v>0</v>
      </c>
      <c r="X293" s="1">
        <v>3</v>
      </c>
      <c r="Y293" s="1">
        <v>1</v>
      </c>
      <c r="Z293" s="1">
        <v>5</v>
      </c>
      <c r="AA293" s="1">
        <v>5</v>
      </c>
      <c r="AB293" s="1">
        <v>8</v>
      </c>
      <c r="AC293" s="1">
        <v>10</v>
      </c>
      <c r="AD293" s="1">
        <v>10</v>
      </c>
      <c r="AE293" s="1">
        <v>13</v>
      </c>
      <c r="AF293" s="1">
        <v>9</v>
      </c>
      <c r="AG293" s="1">
        <v>5</v>
      </c>
      <c r="AH293" s="1">
        <v>18</v>
      </c>
      <c r="AI293" s="1">
        <v>11</v>
      </c>
      <c r="AJ293" s="1">
        <v>12</v>
      </c>
      <c r="AK293" s="1">
        <v>21</v>
      </c>
      <c r="AL293" s="1">
        <v>18</v>
      </c>
      <c r="AM293" s="1">
        <v>20</v>
      </c>
      <c r="AN293" s="1">
        <v>24</v>
      </c>
      <c r="AO293" s="1">
        <v>16</v>
      </c>
      <c r="AP293" s="1">
        <v>27</v>
      </c>
      <c r="AQ293" s="1">
        <v>42</v>
      </c>
      <c r="AR293" s="1">
        <v>28</v>
      </c>
      <c r="AS293" s="1">
        <v>25</v>
      </c>
      <c r="AT293" s="1">
        <v>22</v>
      </c>
      <c r="AU293" s="1">
        <v>39</v>
      </c>
      <c r="AV293" s="1">
        <v>27</v>
      </c>
      <c r="AW293" s="1">
        <v>39</v>
      </c>
      <c r="AY293" s="31">
        <f t="shared" si="198"/>
        <v>35</v>
      </c>
      <c r="AZ293" s="5">
        <f t="shared" si="199"/>
        <v>30.4</v>
      </c>
      <c r="BA293" s="5">
        <f t="shared" si="200"/>
        <v>28.9</v>
      </c>
      <c r="BB293" s="5"/>
      <c r="BC293" s="32">
        <f t="shared" si="201"/>
        <v>0.34948096885813157</v>
      </c>
    </row>
    <row r="294" spans="2:56" ht="11.25" customHeight="1"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4"/>
      <c r="AZ294" s="4"/>
      <c r="BA294" s="4"/>
    </row>
    <row r="295" spans="2:56" ht="11.25" customHeight="1">
      <c r="B295" s="36" t="s">
        <v>276</v>
      </c>
      <c r="D295" s="27" t="s">
        <v>160</v>
      </c>
      <c r="E295" s="28">
        <f t="shared" ref="E295:U295" si="202">E291+E292+E293</f>
        <v>0</v>
      </c>
      <c r="F295" s="28">
        <f t="shared" si="202"/>
        <v>0</v>
      </c>
      <c r="G295" s="28">
        <f t="shared" si="202"/>
        <v>0</v>
      </c>
      <c r="H295" s="28">
        <f t="shared" si="202"/>
        <v>0</v>
      </c>
      <c r="I295" s="28">
        <f t="shared" si="202"/>
        <v>0</v>
      </c>
      <c r="J295" s="28">
        <f t="shared" si="202"/>
        <v>0</v>
      </c>
      <c r="K295" s="28">
        <f t="shared" si="202"/>
        <v>0</v>
      </c>
      <c r="L295" s="28">
        <f t="shared" si="202"/>
        <v>0</v>
      </c>
      <c r="M295" s="28">
        <f t="shared" si="202"/>
        <v>0</v>
      </c>
      <c r="N295" s="28">
        <f t="shared" si="202"/>
        <v>0</v>
      </c>
      <c r="O295" s="28">
        <f t="shared" si="202"/>
        <v>0</v>
      </c>
      <c r="P295" s="28">
        <f t="shared" si="202"/>
        <v>0</v>
      </c>
      <c r="Q295" s="28">
        <f t="shared" si="202"/>
        <v>0</v>
      </c>
      <c r="R295" s="28">
        <f t="shared" si="202"/>
        <v>0</v>
      </c>
      <c r="S295" s="28">
        <f t="shared" si="202"/>
        <v>0</v>
      </c>
      <c r="T295" s="28">
        <f t="shared" si="202"/>
        <v>0</v>
      </c>
      <c r="U295" s="28">
        <f t="shared" si="202"/>
        <v>0</v>
      </c>
      <c r="V295" s="28">
        <f t="shared" ref="V295:AD295" si="203">V291+V292+V293</f>
        <v>1</v>
      </c>
      <c r="W295" s="28">
        <f t="shared" si="203"/>
        <v>2</v>
      </c>
      <c r="X295" s="28">
        <f t="shared" si="203"/>
        <v>6</v>
      </c>
      <c r="Y295" s="28">
        <f t="shared" si="203"/>
        <v>14</v>
      </c>
      <c r="Z295" s="28">
        <f t="shared" si="203"/>
        <v>17</v>
      </c>
      <c r="AA295" s="28">
        <f t="shared" si="203"/>
        <v>17</v>
      </c>
      <c r="AB295" s="28">
        <f t="shared" si="203"/>
        <v>33</v>
      </c>
      <c r="AC295" s="28">
        <f t="shared" si="203"/>
        <v>29</v>
      </c>
      <c r="AD295" s="28">
        <f t="shared" si="203"/>
        <v>26</v>
      </c>
      <c r="AE295" s="28">
        <f t="shared" ref="AE295:AK295" si="204">AE291+AE292+AE293</f>
        <v>42</v>
      </c>
      <c r="AF295" s="28">
        <f t="shared" si="204"/>
        <v>42</v>
      </c>
      <c r="AG295" s="28">
        <f t="shared" si="204"/>
        <v>33</v>
      </c>
      <c r="AH295" s="28">
        <f t="shared" si="204"/>
        <v>48</v>
      </c>
      <c r="AI295" s="28">
        <f t="shared" si="204"/>
        <v>46</v>
      </c>
      <c r="AJ295" s="28">
        <f t="shared" si="204"/>
        <v>52</v>
      </c>
      <c r="AK295" s="28">
        <f t="shared" si="204"/>
        <v>56</v>
      </c>
      <c r="AL295" s="28">
        <f t="shared" ref="AL295:AS295" si="205">AL291+AL292+AL293</f>
        <v>58</v>
      </c>
      <c r="AM295" s="28">
        <f t="shared" si="205"/>
        <v>58</v>
      </c>
      <c r="AN295" s="28">
        <f t="shared" si="205"/>
        <v>58</v>
      </c>
      <c r="AO295" s="28">
        <f t="shared" si="205"/>
        <v>51</v>
      </c>
      <c r="AP295" s="28">
        <f t="shared" si="205"/>
        <v>88</v>
      </c>
      <c r="AQ295" s="28">
        <f>AQ291+AQ292+AQ293</f>
        <v>97</v>
      </c>
      <c r="AR295" s="28">
        <f t="shared" si="205"/>
        <v>83</v>
      </c>
      <c r="AS295" s="28">
        <f t="shared" si="205"/>
        <v>59</v>
      </c>
      <c r="AT295" s="28">
        <f t="shared" ref="AT295:AW295" si="206">AT291+AT292+AT293</f>
        <v>54</v>
      </c>
      <c r="AU295" s="28">
        <f>AU291+AU292+AU293</f>
        <v>75</v>
      </c>
      <c r="AV295" s="28">
        <f>AV291+AV292+AV293</f>
        <v>71</v>
      </c>
      <c r="AW295" s="28">
        <f t="shared" si="206"/>
        <v>80</v>
      </c>
      <c r="AX295" s="28"/>
      <c r="AY295" s="31">
        <f>IF(SUM(AU295:AW295)&gt;=0,AVERAGE(AU295:AW295),"")</f>
        <v>75.333333333333329</v>
      </c>
      <c r="AZ295" s="5">
        <f t="shared" ref="AZ295" si="207">IF(SUM(AS295:AW295)&gt;=0,AVERAGE(AS295:AW295),"")</f>
        <v>67.8</v>
      </c>
      <c r="BA295" s="5">
        <f>IF(SUM(AN295:AW295)&gt;=0,AVERAGE(AN295:AW295),"")</f>
        <v>71.599999999999994</v>
      </c>
      <c r="BB295" s="5"/>
      <c r="BC295" s="32">
        <f>(AW295-BA295)/BA295</f>
        <v>0.11731843575419003</v>
      </c>
    </row>
    <row r="296" spans="2:56" ht="11.25" customHeight="1"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4"/>
      <c r="AZ296" s="4"/>
      <c r="BA296" s="4"/>
    </row>
    <row r="297" spans="2:56" ht="11.25" customHeight="1"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4"/>
      <c r="AZ297" s="4"/>
      <c r="BA297" s="4"/>
    </row>
    <row r="298" spans="2:56" ht="11.25" hidden="1" customHeight="1">
      <c r="B298" s="59" t="s">
        <v>277</v>
      </c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60"/>
      <c r="BB298" s="60"/>
      <c r="BC298" s="60"/>
      <c r="BD298" s="60"/>
    </row>
    <row r="299" spans="2:56" ht="11.25" hidden="1" customHeight="1"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4"/>
      <c r="AZ299" s="4"/>
      <c r="BA299" s="4"/>
    </row>
    <row r="300" spans="2:56" ht="11.25" hidden="1" customHeight="1">
      <c r="B300" s="36" t="s">
        <v>278</v>
      </c>
      <c r="C300" s="1" t="s">
        <v>279</v>
      </c>
      <c r="D300" s="1" t="s">
        <v>280</v>
      </c>
      <c r="E300" s="1">
        <v>30</v>
      </c>
      <c r="F300" s="1">
        <v>24</v>
      </c>
      <c r="G300" s="1">
        <v>36</v>
      </c>
      <c r="H300" s="1">
        <v>35</v>
      </c>
      <c r="I300" s="1">
        <v>64</v>
      </c>
      <c r="J300" s="1">
        <v>62</v>
      </c>
      <c r="K300" s="1">
        <v>43</v>
      </c>
      <c r="L300" s="1">
        <v>54</v>
      </c>
      <c r="M300" s="1">
        <v>61</v>
      </c>
      <c r="N300" s="1">
        <v>51</v>
      </c>
      <c r="O300" s="1">
        <v>39</v>
      </c>
      <c r="P300" s="1">
        <v>51</v>
      </c>
      <c r="Q300" s="1">
        <v>35</v>
      </c>
      <c r="R300" s="1">
        <v>65</v>
      </c>
      <c r="S300" s="1">
        <v>66</v>
      </c>
      <c r="T300" s="1">
        <v>77</v>
      </c>
      <c r="U300" s="1">
        <v>73</v>
      </c>
      <c r="V300" s="1">
        <v>79</v>
      </c>
      <c r="W300" s="1">
        <v>74</v>
      </c>
      <c r="X300" s="1">
        <v>88</v>
      </c>
      <c r="Y300" s="1">
        <v>95</v>
      </c>
      <c r="Z300" s="1">
        <v>77</v>
      </c>
      <c r="AA300" s="1">
        <v>80</v>
      </c>
      <c r="AB300" s="1">
        <v>82</v>
      </c>
      <c r="AC300" s="1">
        <v>69</v>
      </c>
      <c r="AD300" s="1">
        <v>38</v>
      </c>
      <c r="AE300" s="1">
        <v>48</v>
      </c>
      <c r="AF300" s="1">
        <v>41</v>
      </c>
      <c r="AY300" s="3" t="s">
        <v>22</v>
      </c>
      <c r="AZ300" s="3" t="s">
        <v>22</v>
      </c>
      <c r="BA300" s="3" t="s">
        <v>22</v>
      </c>
    </row>
    <row r="301" spans="2:56" ht="11.25" hidden="1" customHeight="1"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4"/>
      <c r="AZ301" s="4"/>
      <c r="BA301" s="4"/>
    </row>
    <row r="302" spans="2:56" ht="11.25" hidden="1" customHeight="1">
      <c r="B302" s="36" t="s">
        <v>281</v>
      </c>
      <c r="D302" s="27" t="s">
        <v>160</v>
      </c>
      <c r="E302" s="1">
        <f>E300</f>
        <v>30</v>
      </c>
      <c r="F302" s="1">
        <f t="shared" ref="F302:AF302" si="208">F300</f>
        <v>24</v>
      </c>
      <c r="G302" s="1">
        <f t="shared" si="208"/>
        <v>36</v>
      </c>
      <c r="H302" s="1">
        <f t="shared" si="208"/>
        <v>35</v>
      </c>
      <c r="I302" s="1">
        <f t="shared" si="208"/>
        <v>64</v>
      </c>
      <c r="J302" s="1">
        <f t="shared" si="208"/>
        <v>62</v>
      </c>
      <c r="K302" s="1">
        <f t="shared" si="208"/>
        <v>43</v>
      </c>
      <c r="L302" s="1">
        <f t="shared" si="208"/>
        <v>54</v>
      </c>
      <c r="M302" s="1">
        <f t="shared" si="208"/>
        <v>61</v>
      </c>
      <c r="N302" s="1">
        <f t="shared" si="208"/>
        <v>51</v>
      </c>
      <c r="O302" s="1">
        <f t="shared" si="208"/>
        <v>39</v>
      </c>
      <c r="P302" s="1">
        <f t="shared" si="208"/>
        <v>51</v>
      </c>
      <c r="Q302" s="1">
        <f t="shared" si="208"/>
        <v>35</v>
      </c>
      <c r="R302" s="1">
        <f t="shared" si="208"/>
        <v>65</v>
      </c>
      <c r="S302" s="1">
        <f t="shared" si="208"/>
        <v>66</v>
      </c>
      <c r="T302" s="1">
        <f t="shared" si="208"/>
        <v>77</v>
      </c>
      <c r="U302" s="1">
        <f t="shared" si="208"/>
        <v>73</v>
      </c>
      <c r="V302" s="1">
        <f t="shared" si="208"/>
        <v>79</v>
      </c>
      <c r="W302" s="1">
        <f t="shared" si="208"/>
        <v>74</v>
      </c>
      <c r="X302" s="1">
        <f t="shared" si="208"/>
        <v>88</v>
      </c>
      <c r="Y302" s="1">
        <f t="shared" si="208"/>
        <v>95</v>
      </c>
      <c r="Z302" s="1">
        <f t="shared" si="208"/>
        <v>77</v>
      </c>
      <c r="AA302" s="1">
        <f t="shared" si="208"/>
        <v>80</v>
      </c>
      <c r="AB302" s="1">
        <f t="shared" si="208"/>
        <v>82</v>
      </c>
      <c r="AC302" s="1">
        <f t="shared" si="208"/>
        <v>69</v>
      </c>
      <c r="AD302" s="1">
        <f t="shared" si="208"/>
        <v>38</v>
      </c>
      <c r="AE302" s="1">
        <f t="shared" si="208"/>
        <v>48</v>
      </c>
      <c r="AF302" s="1">
        <f t="shared" si="208"/>
        <v>41</v>
      </c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3" t="s">
        <v>22</v>
      </c>
      <c r="AZ302" s="3" t="s">
        <v>22</v>
      </c>
      <c r="BA302" s="3" t="s">
        <v>22</v>
      </c>
    </row>
    <row r="303" spans="2:56" ht="11.25" hidden="1" customHeight="1"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4"/>
      <c r="AZ303" s="4"/>
      <c r="BA303" s="4"/>
    </row>
    <row r="304" spans="2:56" ht="11.25" hidden="1" customHeight="1"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4"/>
      <c r="AZ304" s="4"/>
      <c r="BA304" s="4"/>
    </row>
    <row r="305" spans="2:56" ht="22.5" customHeight="1">
      <c r="B305" s="50" t="s">
        <v>282</v>
      </c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20"/>
      <c r="BC305" s="20"/>
      <c r="BD305" s="20"/>
    </row>
    <row r="306" spans="2:56" ht="11.25" customHeight="1">
      <c r="B306" s="51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</row>
    <row r="307" spans="2:56" ht="11" customHeight="1">
      <c r="B307" s="36" t="s">
        <v>399</v>
      </c>
      <c r="C307" s="1" t="s">
        <v>284</v>
      </c>
      <c r="D307" s="1" t="s">
        <v>47</v>
      </c>
      <c r="I307" s="25" t="s">
        <v>29</v>
      </c>
      <c r="J307" s="25" t="s">
        <v>29</v>
      </c>
      <c r="K307" s="25" t="s">
        <v>29</v>
      </c>
      <c r="L307" s="25" t="s">
        <v>29</v>
      </c>
      <c r="M307" s="25" t="s">
        <v>29</v>
      </c>
      <c r="N307" s="25" t="s">
        <v>29</v>
      </c>
      <c r="O307" s="25" t="s">
        <v>29</v>
      </c>
      <c r="P307" s="25" t="s">
        <v>29</v>
      </c>
      <c r="Q307" s="25" t="s">
        <v>29</v>
      </c>
      <c r="R307" s="25" t="s">
        <v>29</v>
      </c>
      <c r="S307" s="25" t="s">
        <v>29</v>
      </c>
      <c r="T307" s="25" t="s">
        <v>29</v>
      </c>
      <c r="U307" s="25" t="s">
        <v>29</v>
      </c>
      <c r="V307" s="25" t="s">
        <v>29</v>
      </c>
      <c r="W307" s="1">
        <v>0</v>
      </c>
      <c r="X307" s="1">
        <v>1</v>
      </c>
      <c r="Y307" s="1">
        <v>0</v>
      </c>
      <c r="Z307" s="1">
        <v>1</v>
      </c>
      <c r="AA307" s="1">
        <v>1</v>
      </c>
      <c r="AB307" s="1">
        <v>1</v>
      </c>
      <c r="AC307" s="1">
        <v>1</v>
      </c>
      <c r="AD307" s="1">
        <v>2</v>
      </c>
      <c r="AE307" s="1">
        <v>1</v>
      </c>
      <c r="AF307" s="1">
        <v>1</v>
      </c>
      <c r="AG307" s="1">
        <v>0</v>
      </c>
      <c r="AH307" s="1">
        <v>0</v>
      </c>
      <c r="AI307" s="1">
        <v>0</v>
      </c>
      <c r="AJ307" s="1">
        <v>1</v>
      </c>
      <c r="AK307" s="1">
        <v>0</v>
      </c>
      <c r="AL307" s="1">
        <v>0</v>
      </c>
      <c r="AM307" s="1">
        <v>1</v>
      </c>
      <c r="AN307" s="1">
        <v>0</v>
      </c>
      <c r="AO307" s="1">
        <v>1</v>
      </c>
      <c r="AP307" s="1">
        <v>0</v>
      </c>
      <c r="AQ307" s="1">
        <v>0</v>
      </c>
      <c r="AR307" s="1">
        <v>0</v>
      </c>
      <c r="AS307" s="1">
        <v>1</v>
      </c>
      <c r="AT307" s="1">
        <v>1</v>
      </c>
      <c r="AU307" s="1">
        <v>0</v>
      </c>
      <c r="AV307" s="1">
        <v>0</v>
      </c>
      <c r="AW307" s="1">
        <v>0</v>
      </c>
      <c r="AY307" s="31">
        <f>IF(SUM(AU307:AW307)&gt;=0,AVERAGE(AU307:AW307),"")</f>
        <v>0</v>
      </c>
      <c r="AZ307" s="5">
        <f t="shared" ref="AZ307" si="209">IF(SUM(AS307:AW307)&gt;=0,AVERAGE(AS307:AW307),"")</f>
        <v>0.4</v>
      </c>
      <c r="BA307" s="5">
        <f t="shared" ref="BA307" si="210">IF(SUM(AN307:AW307)&gt;=0,AVERAGE(AN307:AW307),"")</f>
        <v>0.3</v>
      </c>
      <c r="BB307" s="5"/>
      <c r="BC307" s="32">
        <f t="shared" ref="BC307" si="211">(AW307-BA307)/BA307</f>
        <v>-1</v>
      </c>
    </row>
    <row r="308" spans="2:56" ht="11" customHeight="1"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AY308" s="37"/>
      <c r="AZ308" s="5"/>
      <c r="BA308" s="5"/>
      <c r="BB308" s="5"/>
      <c r="BC308" s="39"/>
    </row>
    <row r="309" spans="2:56" ht="11" customHeight="1">
      <c r="B309" s="36" t="s">
        <v>403</v>
      </c>
      <c r="C309" s="1" t="s">
        <v>285</v>
      </c>
      <c r="D309" s="1" t="s">
        <v>286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1</v>
      </c>
      <c r="AT309" s="1">
        <v>0</v>
      </c>
      <c r="AU309" s="1">
        <v>0</v>
      </c>
      <c r="AV309" s="1">
        <v>0</v>
      </c>
      <c r="AW309" s="1">
        <v>0</v>
      </c>
      <c r="AY309" s="31">
        <f>IF(SUM(AU309:AW309)&gt;=0,AVERAGE(AU309:AW309),"")</f>
        <v>0</v>
      </c>
      <c r="AZ309" s="5">
        <f t="shared" ref="AZ309" si="212">IF(SUM(AS309:AW309)&gt;=0,AVERAGE(AS309:AW309),"")</f>
        <v>0.2</v>
      </c>
      <c r="BA309" s="5">
        <f t="shared" ref="BA309" si="213">IF(SUM(AN309:AW309)&gt;=0,AVERAGE(AN309:AW309),"")</f>
        <v>0.1</v>
      </c>
      <c r="BB309" s="5"/>
      <c r="BC309" s="32">
        <f t="shared" ref="BC309" si="214">(AW309-BA309)/BA309</f>
        <v>-1</v>
      </c>
    </row>
    <row r="310" spans="2:56" ht="11" customHeight="1"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AY310" s="37"/>
      <c r="AZ310" s="5"/>
      <c r="BA310" s="5"/>
      <c r="BB310" s="5"/>
      <c r="BC310" s="39"/>
    </row>
    <row r="311" spans="2:56" ht="11" customHeight="1">
      <c r="B311" s="36" t="s">
        <v>400</v>
      </c>
      <c r="C311" s="1" t="s">
        <v>279</v>
      </c>
      <c r="D311" s="1" t="s">
        <v>280</v>
      </c>
      <c r="AG311" s="1">
        <v>30</v>
      </c>
      <c r="AH311" s="1">
        <v>20</v>
      </c>
      <c r="AI311" s="1">
        <v>12</v>
      </c>
      <c r="AJ311" s="1">
        <v>4</v>
      </c>
      <c r="AK311" s="1">
        <v>4</v>
      </c>
      <c r="AL311" s="1">
        <v>3</v>
      </c>
      <c r="AM311" s="1">
        <v>1</v>
      </c>
      <c r="AN311" s="1">
        <v>2</v>
      </c>
      <c r="AO311" s="1">
        <v>1</v>
      </c>
      <c r="AP311" s="1">
        <v>0</v>
      </c>
      <c r="AQ311" s="1">
        <v>1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7"/>
      <c r="AY311" s="31">
        <f>IF(SUM(AU311:AW311)&gt;=0,AVERAGE(AU311:AW311),"")</f>
        <v>0</v>
      </c>
      <c r="AZ311" s="5">
        <f t="shared" ref="AZ311" si="215">IF(SUM(AS311:AW311)&gt;=0,AVERAGE(AS311:AW311),"")</f>
        <v>0</v>
      </c>
      <c r="BA311" s="5">
        <f t="shared" ref="BA311" si="216">IF(SUM(AN311:AW311)&gt;=0,AVERAGE(AN311:AW311),"")</f>
        <v>0.4</v>
      </c>
      <c r="BB311" s="5"/>
      <c r="BC311" s="32">
        <f t="shared" ref="BC311" si="217">(AW311-BA311)/BA311</f>
        <v>-1</v>
      </c>
    </row>
    <row r="312" spans="2:56" ht="11" customHeight="1"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AY312" s="37"/>
      <c r="AZ312" s="5"/>
      <c r="BA312" s="5"/>
      <c r="BB312" s="5"/>
      <c r="BC312" s="39"/>
    </row>
    <row r="313" spans="2:56" ht="11.25" customHeight="1">
      <c r="B313" s="36" t="s">
        <v>402</v>
      </c>
      <c r="C313" s="1" t="s">
        <v>75</v>
      </c>
      <c r="D313" s="1" t="s">
        <v>194</v>
      </c>
      <c r="AQ313" s="1">
        <v>0</v>
      </c>
      <c r="AR313" s="1">
        <v>8</v>
      </c>
      <c r="AS313" s="1">
        <v>10</v>
      </c>
      <c r="AT313" s="1">
        <v>7</v>
      </c>
      <c r="AU313" s="1">
        <v>16</v>
      </c>
      <c r="AV313" s="1">
        <v>8</v>
      </c>
      <c r="AW313" s="1">
        <v>17</v>
      </c>
      <c r="AY313" s="31">
        <f>IF(SUM(AU313:AW313)&gt;=0,AVERAGE(AU313:AW313),"")</f>
        <v>13.666666666666666</v>
      </c>
      <c r="AZ313" s="5">
        <f t="shared" ref="AZ313" si="218">IF(SUM(AS313:AW313)&gt;=0,AVERAGE(AS313:AW313),"")</f>
        <v>11.6</v>
      </c>
      <c r="BA313" s="3" t="s">
        <v>22</v>
      </c>
      <c r="BC313" s="33"/>
    </row>
    <row r="314" spans="2:56" ht="11.25" customHeight="1">
      <c r="B314" s="49"/>
      <c r="C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4"/>
      <c r="AZ314" s="4"/>
      <c r="BA314" s="4"/>
    </row>
    <row r="315" spans="2:56" ht="11.25" customHeight="1">
      <c r="B315" s="36" t="s">
        <v>401</v>
      </c>
      <c r="C315" s="1" t="s">
        <v>283</v>
      </c>
      <c r="D315" s="1" t="s">
        <v>47</v>
      </c>
      <c r="I315" s="25" t="s">
        <v>29</v>
      </c>
      <c r="J315" s="25" t="s">
        <v>29</v>
      </c>
      <c r="K315" s="25" t="s">
        <v>29</v>
      </c>
      <c r="L315" s="25" t="s">
        <v>29</v>
      </c>
      <c r="M315" s="25" t="s">
        <v>29</v>
      </c>
      <c r="N315" s="25" t="s">
        <v>29</v>
      </c>
      <c r="O315" s="25" t="s">
        <v>29</v>
      </c>
      <c r="P315" s="25" t="s">
        <v>29</v>
      </c>
      <c r="Q315" s="25" t="s">
        <v>29</v>
      </c>
      <c r="R315" s="25" t="s">
        <v>29</v>
      </c>
      <c r="S315" s="25" t="s">
        <v>29</v>
      </c>
      <c r="T315" s="25" t="s">
        <v>29</v>
      </c>
      <c r="U315" s="25" t="s">
        <v>29</v>
      </c>
      <c r="V315" s="25" t="s">
        <v>29</v>
      </c>
      <c r="W315" s="1">
        <v>0</v>
      </c>
      <c r="X315" s="1">
        <v>2</v>
      </c>
      <c r="Y315" s="1">
        <v>0</v>
      </c>
      <c r="Z315" s="1">
        <v>1</v>
      </c>
      <c r="AA315" s="1">
        <v>6</v>
      </c>
      <c r="AB315" s="1">
        <v>5</v>
      </c>
      <c r="AC315" s="1">
        <v>3</v>
      </c>
      <c r="AD315" s="1">
        <v>1</v>
      </c>
      <c r="AE315" s="1">
        <v>1</v>
      </c>
      <c r="AF315" s="1">
        <v>0</v>
      </c>
      <c r="AG315" s="1">
        <v>0</v>
      </c>
      <c r="AH315" s="1">
        <v>2</v>
      </c>
      <c r="AI315" s="1">
        <v>2</v>
      </c>
      <c r="AJ315" s="1">
        <v>1</v>
      </c>
      <c r="AK315" s="1">
        <v>3</v>
      </c>
      <c r="AL315" s="1">
        <v>1</v>
      </c>
      <c r="AM315" s="1">
        <v>1</v>
      </c>
      <c r="AN315" s="1">
        <v>4</v>
      </c>
      <c r="AO315" s="1">
        <v>4</v>
      </c>
      <c r="AP315" s="1">
        <v>2</v>
      </c>
      <c r="AQ315" s="1">
        <v>4</v>
      </c>
      <c r="AR315" s="1">
        <v>2</v>
      </c>
      <c r="AS315" s="1">
        <v>3</v>
      </c>
      <c r="AT315" s="1">
        <v>2</v>
      </c>
      <c r="AU315" s="1">
        <v>1</v>
      </c>
      <c r="AV315" s="1">
        <v>1</v>
      </c>
      <c r="AW315" s="1">
        <v>0</v>
      </c>
      <c r="AY315" s="31">
        <f>IF(SUM(AU315:AW315)&gt;=0,AVERAGE(AU315:AW315),"")</f>
        <v>0.66666666666666663</v>
      </c>
      <c r="AZ315" s="5">
        <f t="shared" ref="AZ315" si="219">IF(SUM(AS315:AW315)&gt;=0,AVERAGE(AS315:AW315),"")</f>
        <v>1.4</v>
      </c>
      <c r="BA315" s="5">
        <f t="shared" ref="BA315" si="220">IF(SUM(AN315:AW315)&gt;=0,AVERAGE(AN315:AW315),"")</f>
        <v>2.2999999999999998</v>
      </c>
      <c r="BB315" s="5"/>
      <c r="BC315" s="32">
        <f t="shared" ref="BC315" si="221">(AW315-BA315)/BA315</f>
        <v>-1</v>
      </c>
    </row>
    <row r="316" spans="2:56" ht="11.25" customHeight="1">
      <c r="B316" s="49"/>
      <c r="C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4"/>
      <c r="AZ316" s="4"/>
      <c r="BA316" s="4"/>
    </row>
    <row r="317" spans="2:56" ht="11.25" hidden="1" customHeight="1">
      <c r="B317" s="36" t="s">
        <v>287</v>
      </c>
      <c r="C317" s="1" t="s">
        <v>264</v>
      </c>
      <c r="D317" s="1" t="s">
        <v>47</v>
      </c>
      <c r="I317" s="25" t="s">
        <v>29</v>
      </c>
      <c r="J317" s="25" t="s">
        <v>29</v>
      </c>
      <c r="K317" s="25" t="s">
        <v>29</v>
      </c>
      <c r="L317" s="25" t="s">
        <v>29</v>
      </c>
      <c r="M317" s="25" t="s">
        <v>29</v>
      </c>
      <c r="N317" s="25" t="s">
        <v>29</v>
      </c>
      <c r="O317" s="25" t="s">
        <v>29</v>
      </c>
      <c r="P317" s="25" t="s">
        <v>29</v>
      </c>
      <c r="Q317" s="25" t="s">
        <v>29</v>
      </c>
      <c r="R317" s="25" t="s">
        <v>29</v>
      </c>
      <c r="S317" s="25" t="s">
        <v>29</v>
      </c>
      <c r="T317" s="25" t="s">
        <v>29</v>
      </c>
      <c r="U317" s="25" t="s">
        <v>29</v>
      </c>
      <c r="V317" s="25" t="s">
        <v>29</v>
      </c>
      <c r="W317" s="1">
        <v>0</v>
      </c>
      <c r="X317" s="1">
        <v>6</v>
      </c>
      <c r="Y317" s="1">
        <v>5</v>
      </c>
      <c r="Z317" s="1">
        <v>1</v>
      </c>
      <c r="AA317" s="1">
        <v>3</v>
      </c>
      <c r="AB317" s="1">
        <v>3</v>
      </c>
      <c r="AC317" s="1">
        <v>0</v>
      </c>
      <c r="AD317" s="1">
        <v>8</v>
      </c>
      <c r="AE317" s="1">
        <v>2</v>
      </c>
      <c r="AF317" s="1">
        <v>8</v>
      </c>
      <c r="AG317" s="1">
        <v>9</v>
      </c>
      <c r="AH317" s="1">
        <v>6</v>
      </c>
      <c r="AI317" s="1">
        <v>4</v>
      </c>
      <c r="AX317" s="7"/>
      <c r="AY317" s="3" t="s">
        <v>22</v>
      </c>
      <c r="AZ317" s="3" t="s">
        <v>22</v>
      </c>
      <c r="BA317" s="3" t="s">
        <v>22</v>
      </c>
    </row>
    <row r="318" spans="2:56" ht="11.25" hidden="1" customHeight="1">
      <c r="D318" s="1" t="s">
        <v>265</v>
      </c>
      <c r="I318" s="25" t="s">
        <v>29</v>
      </c>
      <c r="J318" s="25" t="s">
        <v>29</v>
      </c>
      <c r="K318" s="25" t="s">
        <v>29</v>
      </c>
      <c r="L318" s="25" t="s">
        <v>29</v>
      </c>
      <c r="M318" s="25" t="s">
        <v>29</v>
      </c>
      <c r="N318" s="25" t="s">
        <v>29</v>
      </c>
      <c r="O318" s="1">
        <v>0</v>
      </c>
      <c r="P318" s="1">
        <v>2</v>
      </c>
      <c r="Q318" s="1">
        <v>1</v>
      </c>
      <c r="R318" s="1">
        <v>1</v>
      </c>
      <c r="S318" s="1">
        <v>4</v>
      </c>
      <c r="T318" s="1">
        <v>3</v>
      </c>
      <c r="U318" s="1">
        <v>6</v>
      </c>
      <c r="V318" s="1">
        <v>6</v>
      </c>
      <c r="W318" s="1">
        <v>6</v>
      </c>
      <c r="X318" s="1">
        <f>5+1</f>
        <v>6</v>
      </c>
      <c r="Y318" s="1">
        <v>1</v>
      </c>
      <c r="Z318" s="1">
        <v>3</v>
      </c>
      <c r="AA318" s="1">
        <v>1</v>
      </c>
      <c r="AB318" s="1">
        <f>7+1</f>
        <v>8</v>
      </c>
      <c r="AC318" s="1">
        <v>1</v>
      </c>
      <c r="AD318" s="1">
        <v>5</v>
      </c>
      <c r="AE318" s="1">
        <v>6</v>
      </c>
      <c r="AF318" s="1">
        <v>4</v>
      </c>
      <c r="AG318" s="1">
        <v>4</v>
      </c>
      <c r="AH318" s="1">
        <v>7</v>
      </c>
      <c r="AI318" s="1">
        <v>8</v>
      </c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3" t="s">
        <v>22</v>
      </c>
      <c r="AZ318" s="3" t="s">
        <v>22</v>
      </c>
      <c r="BA318" s="3" t="s">
        <v>22</v>
      </c>
    </row>
    <row r="319" spans="2:56" ht="11.25" hidden="1" customHeight="1">
      <c r="C319" s="1" t="s">
        <v>266</v>
      </c>
      <c r="D319" s="1" t="s">
        <v>173</v>
      </c>
      <c r="I319" s="25"/>
      <c r="J319" s="25"/>
      <c r="K319" s="25"/>
      <c r="L319" s="25"/>
      <c r="M319" s="25"/>
      <c r="N319" s="25"/>
      <c r="AH319" s="1">
        <v>1</v>
      </c>
      <c r="AI319" s="1">
        <v>1</v>
      </c>
      <c r="AX319" s="7"/>
      <c r="AY319" s="3" t="s">
        <v>22</v>
      </c>
      <c r="AZ319" s="3" t="s">
        <v>22</v>
      </c>
      <c r="BA319" s="3" t="s">
        <v>22</v>
      </c>
    </row>
    <row r="320" spans="2:56" hidden="1"/>
    <row r="322" spans="2:56">
      <c r="B322" s="36" t="s">
        <v>158</v>
      </c>
      <c r="D322" s="27" t="s">
        <v>160</v>
      </c>
      <c r="E322" s="1">
        <f t="shared" ref="E322:AP322" si="222">SUM(E311)</f>
        <v>0</v>
      </c>
      <c r="F322" s="1">
        <f t="shared" si="222"/>
        <v>0</v>
      </c>
      <c r="G322" s="1">
        <f t="shared" si="222"/>
        <v>0</v>
      </c>
      <c r="H322" s="1">
        <f t="shared" si="222"/>
        <v>0</v>
      </c>
      <c r="I322" s="1">
        <f t="shared" si="222"/>
        <v>0</v>
      </c>
      <c r="J322" s="1">
        <f t="shared" si="222"/>
        <v>0</v>
      </c>
      <c r="K322" s="1">
        <f t="shared" si="222"/>
        <v>0</v>
      </c>
      <c r="L322" s="1">
        <f t="shared" si="222"/>
        <v>0</v>
      </c>
      <c r="M322" s="1">
        <f t="shared" si="222"/>
        <v>0</v>
      </c>
      <c r="N322" s="1">
        <f t="shared" si="222"/>
        <v>0</v>
      </c>
      <c r="O322" s="1">
        <f t="shared" si="222"/>
        <v>0</v>
      </c>
      <c r="P322" s="1">
        <f t="shared" si="222"/>
        <v>0</v>
      </c>
      <c r="Q322" s="1">
        <f t="shared" si="222"/>
        <v>0</v>
      </c>
      <c r="R322" s="1">
        <f t="shared" si="222"/>
        <v>0</v>
      </c>
      <c r="S322" s="1">
        <f t="shared" si="222"/>
        <v>0</v>
      </c>
      <c r="T322" s="1">
        <f t="shared" si="222"/>
        <v>0</v>
      </c>
      <c r="U322" s="1">
        <f t="shared" si="222"/>
        <v>0</v>
      </c>
      <c r="V322" s="1">
        <f t="shared" si="222"/>
        <v>0</v>
      </c>
      <c r="W322" s="1">
        <f t="shared" si="222"/>
        <v>0</v>
      </c>
      <c r="X322" s="1">
        <f t="shared" si="222"/>
        <v>0</v>
      </c>
      <c r="Y322" s="1">
        <f t="shared" si="222"/>
        <v>0</v>
      </c>
      <c r="Z322" s="1">
        <f t="shared" si="222"/>
        <v>0</v>
      </c>
      <c r="AA322" s="1">
        <f t="shared" si="222"/>
        <v>0</v>
      </c>
      <c r="AB322" s="1">
        <f t="shared" si="222"/>
        <v>0</v>
      </c>
      <c r="AC322" s="1">
        <f t="shared" si="222"/>
        <v>0</v>
      </c>
      <c r="AD322" s="1">
        <f t="shared" si="222"/>
        <v>0</v>
      </c>
      <c r="AE322" s="1">
        <f t="shared" si="222"/>
        <v>0</v>
      </c>
      <c r="AF322" s="1">
        <f t="shared" si="222"/>
        <v>0</v>
      </c>
      <c r="AG322" s="1">
        <f t="shared" si="222"/>
        <v>30</v>
      </c>
      <c r="AH322" s="1">
        <f t="shared" si="222"/>
        <v>20</v>
      </c>
      <c r="AI322" s="1">
        <f t="shared" si="222"/>
        <v>12</v>
      </c>
      <c r="AJ322" s="1">
        <f t="shared" si="222"/>
        <v>4</v>
      </c>
      <c r="AK322" s="1">
        <f t="shared" si="222"/>
        <v>4</v>
      </c>
      <c r="AL322" s="1">
        <f t="shared" si="222"/>
        <v>3</v>
      </c>
      <c r="AM322" s="1">
        <f t="shared" si="222"/>
        <v>1</v>
      </c>
      <c r="AN322" s="1">
        <f t="shared" si="222"/>
        <v>2</v>
      </c>
      <c r="AO322" s="1">
        <f t="shared" si="222"/>
        <v>1</v>
      </c>
      <c r="AP322" s="1">
        <f t="shared" si="222"/>
        <v>0</v>
      </c>
      <c r="AQ322" s="1">
        <f t="shared" ref="AQ322:AS322" si="223">SUM(AQ311)</f>
        <v>1</v>
      </c>
      <c r="AR322" s="1">
        <f t="shared" si="223"/>
        <v>0</v>
      </c>
      <c r="AS322" s="1">
        <f t="shared" si="223"/>
        <v>0</v>
      </c>
      <c r="AT322" s="1">
        <f>SUM(AT311)</f>
        <v>0</v>
      </c>
      <c r="AU322" s="1">
        <f t="shared" ref="AU322:AW322" si="224">SUM(AU311)</f>
        <v>0</v>
      </c>
      <c r="AV322" s="1">
        <f t="shared" si="224"/>
        <v>0</v>
      </c>
      <c r="AW322" s="1">
        <f t="shared" si="224"/>
        <v>0</v>
      </c>
      <c r="AY322" s="31">
        <f>IF(SUM(AU322:AW322)&gt;=0,AVERAGE(AU322:AW322),"")</f>
        <v>0</v>
      </c>
      <c r="AZ322" s="31">
        <f t="shared" ref="AZ322:BC322" si="225">IF(SUM(AV322:AX322)&gt;=0,AVERAGE(AV322:AX322),"")</f>
        <v>0</v>
      </c>
      <c r="BA322" s="31">
        <f t="shared" si="225"/>
        <v>0</v>
      </c>
      <c r="BB322" s="31">
        <f t="shared" si="225"/>
        <v>0</v>
      </c>
      <c r="BC322" s="31">
        <f t="shared" si="225"/>
        <v>0</v>
      </c>
    </row>
    <row r="323" spans="2:56" ht="11.25" customHeight="1">
      <c r="D323" s="27" t="s">
        <v>161</v>
      </c>
      <c r="E323" s="28">
        <f t="shared" ref="E323:AP323" si="226">SUM(E307,E309,E313,E315)</f>
        <v>0</v>
      </c>
      <c r="F323" s="28">
        <f t="shared" si="226"/>
        <v>0</v>
      </c>
      <c r="G323" s="28">
        <f t="shared" si="226"/>
        <v>0</v>
      </c>
      <c r="H323" s="28">
        <f t="shared" si="226"/>
        <v>0</v>
      </c>
      <c r="I323" s="28">
        <f t="shared" si="226"/>
        <v>0</v>
      </c>
      <c r="J323" s="28">
        <f t="shared" si="226"/>
        <v>0</v>
      </c>
      <c r="K323" s="28">
        <f t="shared" si="226"/>
        <v>0</v>
      </c>
      <c r="L323" s="28">
        <f t="shared" si="226"/>
        <v>0</v>
      </c>
      <c r="M323" s="28">
        <f t="shared" si="226"/>
        <v>0</v>
      </c>
      <c r="N323" s="28">
        <f t="shared" si="226"/>
        <v>0</v>
      </c>
      <c r="O323" s="28">
        <f t="shared" si="226"/>
        <v>0</v>
      </c>
      <c r="P323" s="28">
        <f t="shared" si="226"/>
        <v>0</v>
      </c>
      <c r="Q323" s="28">
        <f t="shared" si="226"/>
        <v>0</v>
      </c>
      <c r="R323" s="28">
        <f t="shared" si="226"/>
        <v>0</v>
      </c>
      <c r="S323" s="28">
        <f t="shared" si="226"/>
        <v>0</v>
      </c>
      <c r="T323" s="28">
        <f t="shared" si="226"/>
        <v>0</v>
      </c>
      <c r="U323" s="28">
        <f t="shared" si="226"/>
        <v>0</v>
      </c>
      <c r="V323" s="28">
        <f t="shared" si="226"/>
        <v>0</v>
      </c>
      <c r="W323" s="28">
        <f t="shared" si="226"/>
        <v>0</v>
      </c>
      <c r="X323" s="28">
        <f t="shared" si="226"/>
        <v>3</v>
      </c>
      <c r="Y323" s="28">
        <f t="shared" si="226"/>
        <v>0</v>
      </c>
      <c r="Z323" s="28">
        <f t="shared" si="226"/>
        <v>2</v>
      </c>
      <c r="AA323" s="28">
        <f t="shared" si="226"/>
        <v>7</v>
      </c>
      <c r="AB323" s="28">
        <f t="shared" si="226"/>
        <v>6</v>
      </c>
      <c r="AC323" s="28">
        <f t="shared" si="226"/>
        <v>4</v>
      </c>
      <c r="AD323" s="28">
        <f t="shared" si="226"/>
        <v>3</v>
      </c>
      <c r="AE323" s="28">
        <f t="shared" si="226"/>
        <v>2</v>
      </c>
      <c r="AF323" s="28">
        <f t="shared" si="226"/>
        <v>1</v>
      </c>
      <c r="AG323" s="28">
        <f t="shared" si="226"/>
        <v>0</v>
      </c>
      <c r="AH323" s="28">
        <f t="shared" si="226"/>
        <v>2</v>
      </c>
      <c r="AI323" s="28">
        <f t="shared" si="226"/>
        <v>2</v>
      </c>
      <c r="AJ323" s="28">
        <f t="shared" si="226"/>
        <v>2</v>
      </c>
      <c r="AK323" s="28">
        <f t="shared" si="226"/>
        <v>3</v>
      </c>
      <c r="AL323" s="28">
        <f t="shared" si="226"/>
        <v>1</v>
      </c>
      <c r="AM323" s="28">
        <f t="shared" si="226"/>
        <v>2</v>
      </c>
      <c r="AN323" s="28">
        <f t="shared" si="226"/>
        <v>4</v>
      </c>
      <c r="AO323" s="28">
        <f t="shared" si="226"/>
        <v>5</v>
      </c>
      <c r="AP323" s="28">
        <f t="shared" si="226"/>
        <v>2</v>
      </c>
      <c r="AQ323" s="28">
        <f t="shared" ref="AQ323:AS323" si="227">SUM(AQ307,AQ309,AQ313,AQ315)</f>
        <v>4</v>
      </c>
      <c r="AR323" s="28">
        <f t="shared" si="227"/>
        <v>10</v>
      </c>
      <c r="AS323" s="28">
        <f t="shared" si="227"/>
        <v>15</v>
      </c>
      <c r="AT323" s="28">
        <f>SUM(AT307,AT309,AT313,AT315)</f>
        <v>10</v>
      </c>
      <c r="AU323" s="28">
        <f t="shared" ref="AU323:AW323" si="228">SUM(AU307,AU309,AU313,AU315)</f>
        <v>17</v>
      </c>
      <c r="AV323" s="28">
        <f t="shared" si="228"/>
        <v>9</v>
      </c>
      <c r="AW323" s="28">
        <f t="shared" si="228"/>
        <v>17</v>
      </c>
      <c r="AX323" s="28"/>
      <c r="AY323" s="31">
        <f>IF(SUM(AU323:AW323)&gt;=0,AVERAGE(AU323:AW323),"")</f>
        <v>14.333333333333334</v>
      </c>
      <c r="AZ323" s="5">
        <f t="shared" ref="AZ323" si="229">IF(SUM(AS323:AW323)&gt;=0,AVERAGE(AS323:AW323),"")</f>
        <v>13.6</v>
      </c>
      <c r="BA323" s="5">
        <f t="shared" ref="BA323" si="230">IF(SUM(AN323:AW323)&gt;=0,AVERAGE(AN323:AW323),"")</f>
        <v>9.3000000000000007</v>
      </c>
      <c r="BB323" s="5"/>
      <c r="BC323" s="32">
        <f t="shared" ref="BC323" si="231">(AW323-BA323)/BA323</f>
        <v>0.82795698924731165</v>
      </c>
    </row>
    <row r="324" spans="2:56" ht="11.25" customHeight="1"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32"/>
      <c r="AZ324" s="4"/>
      <c r="BA324" s="4"/>
      <c r="BC324" s="33"/>
    </row>
    <row r="325" spans="2:56" ht="11.25" customHeight="1">
      <c r="B325" s="36" t="s">
        <v>295</v>
      </c>
      <c r="D325" s="1" t="s">
        <v>165</v>
      </c>
      <c r="E325" s="28">
        <f t="shared" ref="E325:AP325" si="232">SUM(E322:E323)</f>
        <v>0</v>
      </c>
      <c r="F325" s="28">
        <f t="shared" si="232"/>
        <v>0</v>
      </c>
      <c r="G325" s="28">
        <f t="shared" si="232"/>
        <v>0</v>
      </c>
      <c r="H325" s="28">
        <f t="shared" si="232"/>
        <v>0</v>
      </c>
      <c r="I325" s="28">
        <f t="shared" si="232"/>
        <v>0</v>
      </c>
      <c r="J325" s="28">
        <f t="shared" si="232"/>
        <v>0</v>
      </c>
      <c r="K325" s="28">
        <f t="shared" si="232"/>
        <v>0</v>
      </c>
      <c r="L325" s="28">
        <f t="shared" si="232"/>
        <v>0</v>
      </c>
      <c r="M325" s="28">
        <f t="shared" si="232"/>
        <v>0</v>
      </c>
      <c r="N325" s="28">
        <f t="shared" si="232"/>
        <v>0</v>
      </c>
      <c r="O325" s="28">
        <f t="shared" si="232"/>
        <v>0</v>
      </c>
      <c r="P325" s="28">
        <f t="shared" si="232"/>
        <v>0</v>
      </c>
      <c r="Q325" s="28">
        <f t="shared" si="232"/>
        <v>0</v>
      </c>
      <c r="R325" s="28">
        <f t="shared" si="232"/>
        <v>0</v>
      </c>
      <c r="S325" s="28">
        <f t="shared" si="232"/>
        <v>0</v>
      </c>
      <c r="T325" s="28">
        <f t="shared" si="232"/>
        <v>0</v>
      </c>
      <c r="U325" s="28">
        <f t="shared" si="232"/>
        <v>0</v>
      </c>
      <c r="V325" s="28">
        <f t="shared" si="232"/>
        <v>0</v>
      </c>
      <c r="W325" s="28">
        <f t="shared" si="232"/>
        <v>0</v>
      </c>
      <c r="X325" s="28">
        <f t="shared" si="232"/>
        <v>3</v>
      </c>
      <c r="Y325" s="28">
        <f t="shared" si="232"/>
        <v>0</v>
      </c>
      <c r="Z325" s="28">
        <f t="shared" si="232"/>
        <v>2</v>
      </c>
      <c r="AA325" s="28">
        <f t="shared" si="232"/>
        <v>7</v>
      </c>
      <c r="AB325" s="28">
        <f t="shared" si="232"/>
        <v>6</v>
      </c>
      <c r="AC325" s="28">
        <f t="shared" si="232"/>
        <v>4</v>
      </c>
      <c r="AD325" s="28">
        <f t="shared" si="232"/>
        <v>3</v>
      </c>
      <c r="AE325" s="28">
        <f t="shared" si="232"/>
        <v>2</v>
      </c>
      <c r="AF325" s="28">
        <f t="shared" si="232"/>
        <v>1</v>
      </c>
      <c r="AG325" s="28">
        <f t="shared" si="232"/>
        <v>30</v>
      </c>
      <c r="AH325" s="28">
        <f t="shared" si="232"/>
        <v>22</v>
      </c>
      <c r="AI325" s="28">
        <f t="shared" si="232"/>
        <v>14</v>
      </c>
      <c r="AJ325" s="28">
        <f t="shared" si="232"/>
        <v>6</v>
      </c>
      <c r="AK325" s="28">
        <f t="shared" si="232"/>
        <v>7</v>
      </c>
      <c r="AL325" s="28">
        <f t="shared" si="232"/>
        <v>4</v>
      </c>
      <c r="AM325" s="28">
        <f t="shared" si="232"/>
        <v>3</v>
      </c>
      <c r="AN325" s="28">
        <f t="shared" si="232"/>
        <v>6</v>
      </c>
      <c r="AO325" s="28">
        <f t="shared" si="232"/>
        <v>6</v>
      </c>
      <c r="AP325" s="28">
        <f t="shared" si="232"/>
        <v>2</v>
      </c>
      <c r="AQ325" s="28">
        <f t="shared" ref="AQ325:AW325" si="233">SUM(AQ322:AQ323)</f>
        <v>5</v>
      </c>
      <c r="AR325" s="28">
        <f t="shared" si="233"/>
        <v>10</v>
      </c>
      <c r="AS325" s="28">
        <f t="shared" si="233"/>
        <v>15</v>
      </c>
      <c r="AT325" s="28">
        <f t="shared" si="233"/>
        <v>10</v>
      </c>
      <c r="AU325" s="28">
        <f t="shared" si="233"/>
        <v>17</v>
      </c>
      <c r="AV325" s="28">
        <f t="shared" si="233"/>
        <v>9</v>
      </c>
      <c r="AW325" s="28">
        <f t="shared" si="233"/>
        <v>17</v>
      </c>
      <c r="AX325" s="28"/>
      <c r="AY325" s="31">
        <f>IF(SUM(AU325:AW325)&gt;=0,AVERAGE(AU325:AW325),"")</f>
        <v>14.333333333333334</v>
      </c>
      <c r="AZ325" s="5">
        <f t="shared" ref="AZ325" si="234">IF(SUM(AS325:AW325)&gt;=0,AVERAGE(AS325:AW325),"")</f>
        <v>13.6</v>
      </c>
      <c r="BA325" s="5">
        <f t="shared" ref="BA325" si="235">IF(SUM(AN325:AW325)&gt;=0,AVERAGE(AN325:AW325),"")</f>
        <v>9.6999999999999993</v>
      </c>
      <c r="BB325" s="5"/>
      <c r="BC325" s="32">
        <f>(AW325-BA325)/BA325</f>
        <v>0.75257731958762897</v>
      </c>
    </row>
    <row r="326" spans="2:56" ht="11.25" customHeight="1">
      <c r="AY326" s="4"/>
      <c r="AZ326" s="4"/>
      <c r="BA326" s="4"/>
    </row>
    <row r="328" spans="2:56" ht="22.5" customHeight="1">
      <c r="B328" s="53" t="s">
        <v>296</v>
      </c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20"/>
      <c r="BC328" s="20"/>
      <c r="BD328" s="20"/>
    </row>
    <row r="329" spans="2:56" ht="11.25" customHeight="1"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4" t="str">
        <f>IF(AA329&gt;0,IF(AA329&gt;9,(AA329-Z329)/Z329,"&lt;10 cases"),"")</f>
        <v/>
      </c>
      <c r="AZ329" s="4" t="str">
        <f>IF(AA329&gt;0,IF(AA329&gt;9,(AA329-(SUM(V329:Z329)/5))/AA329,"&lt;10 cases"),"")</f>
        <v/>
      </c>
      <c r="BA329" s="4" t="str">
        <f>IF(AA329&gt;0,IF(AA329&gt;9,(AA329-SUM(Q329:Z329)/10)/AA329,"&lt;10 cases"),"")</f>
        <v/>
      </c>
    </row>
    <row r="330" spans="2:56" ht="11.25" customHeight="1">
      <c r="B330" s="36" t="s">
        <v>297</v>
      </c>
      <c r="D330" s="27" t="s">
        <v>159</v>
      </c>
      <c r="E330" s="1">
        <f t="shared" ref="E330:AO330" si="236">E141+E186</f>
        <v>0</v>
      </c>
      <c r="F330" s="1">
        <f t="shared" si="236"/>
        <v>0</v>
      </c>
      <c r="G330" s="1">
        <f t="shared" si="236"/>
        <v>0</v>
      </c>
      <c r="H330" s="1">
        <f t="shared" si="236"/>
        <v>0</v>
      </c>
      <c r="I330" s="1">
        <f t="shared" si="236"/>
        <v>0</v>
      </c>
      <c r="J330" s="1">
        <f t="shared" si="236"/>
        <v>0</v>
      </c>
      <c r="K330" s="1">
        <f t="shared" si="236"/>
        <v>0</v>
      </c>
      <c r="L330" s="1">
        <f t="shared" si="236"/>
        <v>0</v>
      </c>
      <c r="M330" s="1">
        <f t="shared" si="236"/>
        <v>0</v>
      </c>
      <c r="N330" s="1">
        <f t="shared" si="236"/>
        <v>0</v>
      </c>
      <c r="O330" s="1">
        <f t="shared" si="236"/>
        <v>0</v>
      </c>
      <c r="P330" s="1">
        <f t="shared" si="236"/>
        <v>0</v>
      </c>
      <c r="Q330" s="1">
        <f t="shared" si="236"/>
        <v>0</v>
      </c>
      <c r="R330" s="1">
        <f t="shared" si="236"/>
        <v>0</v>
      </c>
      <c r="S330" s="1">
        <f t="shared" si="236"/>
        <v>0</v>
      </c>
      <c r="T330" s="1">
        <f t="shared" si="236"/>
        <v>0</v>
      </c>
      <c r="U330" s="1">
        <f t="shared" si="236"/>
        <v>0</v>
      </c>
      <c r="V330" s="1">
        <f t="shared" si="236"/>
        <v>0</v>
      </c>
      <c r="W330" s="1">
        <f t="shared" si="236"/>
        <v>0</v>
      </c>
      <c r="X330" s="1">
        <f t="shared" si="236"/>
        <v>0</v>
      </c>
      <c r="Y330" s="1">
        <f t="shared" si="236"/>
        <v>0</v>
      </c>
      <c r="Z330" s="1">
        <f t="shared" si="236"/>
        <v>0</v>
      </c>
      <c r="AA330" s="1">
        <f t="shared" si="236"/>
        <v>0</v>
      </c>
      <c r="AB330" s="1">
        <f t="shared" si="236"/>
        <v>0</v>
      </c>
      <c r="AC330" s="1">
        <f t="shared" si="236"/>
        <v>0</v>
      </c>
      <c r="AD330" s="1">
        <f t="shared" si="236"/>
        <v>0</v>
      </c>
      <c r="AE330" s="1">
        <f t="shared" si="236"/>
        <v>0</v>
      </c>
      <c r="AF330" s="1">
        <f t="shared" si="236"/>
        <v>0</v>
      </c>
      <c r="AG330" s="1">
        <f t="shared" si="236"/>
        <v>0</v>
      </c>
      <c r="AH330" s="1">
        <f t="shared" si="236"/>
        <v>0</v>
      </c>
      <c r="AI330" s="1">
        <f t="shared" si="236"/>
        <v>0</v>
      </c>
      <c r="AJ330" s="1">
        <f t="shared" si="236"/>
        <v>0</v>
      </c>
      <c r="AK330" s="1">
        <f t="shared" si="236"/>
        <v>0</v>
      </c>
      <c r="AL330" s="1">
        <f t="shared" si="236"/>
        <v>0</v>
      </c>
      <c r="AM330" s="1">
        <f t="shared" si="236"/>
        <v>0</v>
      </c>
      <c r="AN330" s="1">
        <f t="shared" si="236"/>
        <v>2</v>
      </c>
      <c r="AO330" s="1">
        <f t="shared" si="236"/>
        <v>20</v>
      </c>
      <c r="AP330" s="1">
        <f t="shared" ref="AP330:AT330" si="237">AP141+AP186</f>
        <v>34</v>
      </c>
      <c r="AQ330" s="40">
        <f t="shared" si="237"/>
        <v>29</v>
      </c>
      <c r="AR330" s="1">
        <f t="shared" si="237"/>
        <v>37</v>
      </c>
      <c r="AS330" s="1">
        <f t="shared" si="237"/>
        <v>35</v>
      </c>
      <c r="AT330" s="1">
        <f t="shared" si="237"/>
        <v>68</v>
      </c>
      <c r="AU330" s="1">
        <f>SUM(AU141,AU186)</f>
        <v>52</v>
      </c>
      <c r="AV330" s="1">
        <f>SUM(AV141,AV186)</f>
        <v>93</v>
      </c>
      <c r="AW330" s="1">
        <f>SUM(AW141,AW186)</f>
        <v>98</v>
      </c>
      <c r="AX330" s="7"/>
      <c r="AY330" s="31">
        <f t="shared" ref="AY330:AY336" si="238">IF(SUM(AU330:AW330)&gt;=0,AVERAGE(AU330:AW330),"")</f>
        <v>81</v>
      </c>
      <c r="AZ330" s="5">
        <f t="shared" ref="AZ330:AZ336" si="239">IF(SUM(AS330:AW330)&gt;=0,AVERAGE(AS330:AW330),"")</f>
        <v>69.2</v>
      </c>
      <c r="BA330" s="5">
        <f t="shared" ref="BA330:BA336" si="240">IF(SUM(AN330:AW330)&gt;=0,AVERAGE(AN330:AW330),"")</f>
        <v>46.8</v>
      </c>
      <c r="BB330" s="5"/>
      <c r="BC330" s="32">
        <f>(AW330-BA330)/BA330</f>
        <v>1.0940170940170941</v>
      </c>
    </row>
    <row r="331" spans="2:56">
      <c r="D331" s="27" t="s">
        <v>160</v>
      </c>
      <c r="E331" s="28">
        <f t="shared" ref="E331:AR331" si="241">E142+E187+E230+E256+E283+E295+E322</f>
        <v>1322</v>
      </c>
      <c r="F331" s="28">
        <f t="shared" si="241"/>
        <v>1235</v>
      </c>
      <c r="G331" s="28">
        <f t="shared" si="241"/>
        <v>1202</v>
      </c>
      <c r="H331" s="28">
        <f t="shared" si="241"/>
        <v>1201</v>
      </c>
      <c r="I331" s="28">
        <f t="shared" si="241"/>
        <v>1217</v>
      </c>
      <c r="J331" s="28">
        <f t="shared" si="241"/>
        <v>1178</v>
      </c>
      <c r="K331" s="28">
        <f t="shared" si="241"/>
        <v>1117</v>
      </c>
      <c r="L331" s="28">
        <f t="shared" si="241"/>
        <v>1148</v>
      </c>
      <c r="M331" s="28">
        <f t="shared" si="241"/>
        <v>1199</v>
      </c>
      <c r="N331" s="28">
        <f t="shared" si="241"/>
        <v>1218</v>
      </c>
      <c r="O331" s="28">
        <f t="shared" si="241"/>
        <v>1343</v>
      </c>
      <c r="P331" s="28">
        <f t="shared" si="241"/>
        <v>1476</v>
      </c>
      <c r="Q331" s="28">
        <f t="shared" si="241"/>
        <v>1554</v>
      </c>
      <c r="R331" s="28">
        <f t="shared" si="241"/>
        <v>1592</v>
      </c>
      <c r="S331" s="28">
        <f t="shared" si="241"/>
        <v>1608</v>
      </c>
      <c r="T331" s="28">
        <f t="shared" si="241"/>
        <v>1606</v>
      </c>
      <c r="U331" s="28">
        <f t="shared" si="241"/>
        <v>1690</v>
      </c>
      <c r="V331" s="28">
        <f t="shared" si="241"/>
        <v>1601</v>
      </c>
      <c r="W331" s="28">
        <f t="shared" si="241"/>
        <v>1513</v>
      </c>
      <c r="X331" s="28">
        <f t="shared" si="241"/>
        <v>1585</v>
      </c>
      <c r="Y331" s="28">
        <f t="shared" si="241"/>
        <v>1568</v>
      </c>
      <c r="Z331" s="28">
        <f t="shared" si="241"/>
        <v>1627</v>
      </c>
      <c r="AA331" s="28">
        <f t="shared" si="241"/>
        <v>1610</v>
      </c>
      <c r="AB331" s="28">
        <f t="shared" si="241"/>
        <v>1690</v>
      </c>
      <c r="AC331" s="28">
        <f t="shared" si="241"/>
        <v>1719</v>
      </c>
      <c r="AD331" s="28">
        <f t="shared" si="241"/>
        <v>1810</v>
      </c>
      <c r="AE331" s="28">
        <f t="shared" si="241"/>
        <v>1879</v>
      </c>
      <c r="AF331" s="28">
        <f t="shared" si="241"/>
        <v>1854</v>
      </c>
      <c r="AG331" s="28">
        <f t="shared" si="241"/>
        <v>1902</v>
      </c>
      <c r="AH331" s="28">
        <f t="shared" si="241"/>
        <v>2035</v>
      </c>
      <c r="AI331" s="28">
        <f t="shared" si="241"/>
        <v>2014</v>
      </c>
      <c r="AJ331" s="28">
        <f t="shared" si="241"/>
        <v>2017</v>
      </c>
      <c r="AK331" s="28">
        <f t="shared" si="241"/>
        <v>2011</v>
      </c>
      <c r="AL331" s="28">
        <f t="shared" si="241"/>
        <v>2092</v>
      </c>
      <c r="AM331" s="28">
        <f t="shared" si="241"/>
        <v>1963</v>
      </c>
      <c r="AN331" s="28">
        <f t="shared" si="241"/>
        <v>1974</v>
      </c>
      <c r="AO331" s="28">
        <f t="shared" si="241"/>
        <v>2020</v>
      </c>
      <c r="AP331" s="28">
        <f t="shared" si="241"/>
        <v>2246</v>
      </c>
      <c r="AQ331" s="28">
        <f t="shared" si="241"/>
        <v>2227</v>
      </c>
      <c r="AR331" s="28">
        <f t="shared" si="241"/>
        <v>2071</v>
      </c>
      <c r="AS331" s="28">
        <f t="shared" ref="AS331:AV331" si="242">AS142+AS187+AS230+AS256+AS283+AS295+AS322</f>
        <v>1988</v>
      </c>
      <c r="AT331" s="28">
        <f t="shared" si="242"/>
        <v>1921</v>
      </c>
      <c r="AU331" s="28">
        <f t="shared" si="242"/>
        <v>1888</v>
      </c>
      <c r="AV331" s="28">
        <f t="shared" si="242"/>
        <v>1889</v>
      </c>
      <c r="AW331" s="28">
        <f>AW142+AW187+AW230+AW256+AW283+AW295+AW322</f>
        <v>1786</v>
      </c>
      <c r="AY331" s="31">
        <f t="shared" si="238"/>
        <v>1854.3333333333333</v>
      </c>
      <c r="AZ331" s="5">
        <f t="shared" si="239"/>
        <v>1894.4</v>
      </c>
      <c r="BA331" s="5">
        <f t="shared" si="240"/>
        <v>2001</v>
      </c>
      <c r="BB331" s="5"/>
      <c r="BC331" s="32">
        <f t="shared" ref="BC331:BC336" si="243">(AW331-BA331)/BA331</f>
        <v>-0.10744627686156921</v>
      </c>
    </row>
    <row r="332" spans="2:56" s="40" customFormat="1" ht="11.25" customHeight="1">
      <c r="B332" s="52"/>
      <c r="D332" s="57" t="s">
        <v>161</v>
      </c>
      <c r="E332" s="56">
        <f t="shared" ref="E332:AW332" si="244">E143+E188+E231+E257+E323</f>
        <v>0</v>
      </c>
      <c r="F332" s="56">
        <f t="shared" si="244"/>
        <v>0</v>
      </c>
      <c r="G332" s="56">
        <f t="shared" si="244"/>
        <v>0</v>
      </c>
      <c r="H332" s="56">
        <f t="shared" si="244"/>
        <v>0</v>
      </c>
      <c r="I332" s="56">
        <f t="shared" si="244"/>
        <v>0</v>
      </c>
      <c r="J332" s="56">
        <f t="shared" si="244"/>
        <v>0</v>
      </c>
      <c r="K332" s="56">
        <f t="shared" si="244"/>
        <v>0</v>
      </c>
      <c r="L332" s="56">
        <f t="shared" si="244"/>
        <v>0</v>
      </c>
      <c r="M332" s="56">
        <f t="shared" si="244"/>
        <v>0</v>
      </c>
      <c r="N332" s="56">
        <f t="shared" si="244"/>
        <v>0</v>
      </c>
      <c r="O332" s="56">
        <f t="shared" si="244"/>
        <v>0</v>
      </c>
      <c r="P332" s="56">
        <f t="shared" si="244"/>
        <v>0</v>
      </c>
      <c r="Q332" s="56">
        <f t="shared" si="244"/>
        <v>0</v>
      </c>
      <c r="R332" s="56">
        <f t="shared" si="244"/>
        <v>0</v>
      </c>
      <c r="S332" s="56">
        <f t="shared" si="244"/>
        <v>0</v>
      </c>
      <c r="T332" s="56">
        <f t="shared" si="244"/>
        <v>0</v>
      </c>
      <c r="U332" s="56">
        <f t="shared" si="244"/>
        <v>0</v>
      </c>
      <c r="V332" s="56">
        <f t="shared" si="244"/>
        <v>0</v>
      </c>
      <c r="W332" s="56">
        <f t="shared" si="244"/>
        <v>0</v>
      </c>
      <c r="X332" s="56">
        <f t="shared" si="244"/>
        <v>15</v>
      </c>
      <c r="Y332" s="56">
        <f t="shared" si="244"/>
        <v>13</v>
      </c>
      <c r="Z332" s="56">
        <f t="shared" si="244"/>
        <v>17</v>
      </c>
      <c r="AA332" s="56">
        <f t="shared" si="244"/>
        <v>21</v>
      </c>
      <c r="AB332" s="56">
        <f t="shared" si="244"/>
        <v>30</v>
      </c>
      <c r="AC332" s="56">
        <f t="shared" si="244"/>
        <v>34</v>
      </c>
      <c r="AD332" s="56">
        <f t="shared" si="244"/>
        <v>33</v>
      </c>
      <c r="AE332" s="56">
        <f t="shared" si="244"/>
        <v>35</v>
      </c>
      <c r="AF332" s="56">
        <f t="shared" si="244"/>
        <v>47</v>
      </c>
      <c r="AG332" s="56">
        <f t="shared" si="244"/>
        <v>50</v>
      </c>
      <c r="AH332" s="56">
        <f t="shared" si="244"/>
        <v>49</v>
      </c>
      <c r="AI332" s="56">
        <f t="shared" si="244"/>
        <v>36</v>
      </c>
      <c r="AJ332" s="56">
        <f t="shared" si="244"/>
        <v>79</v>
      </c>
      <c r="AK332" s="56">
        <f t="shared" si="244"/>
        <v>81</v>
      </c>
      <c r="AL332" s="56">
        <f t="shared" si="244"/>
        <v>71</v>
      </c>
      <c r="AM332" s="56">
        <f t="shared" si="244"/>
        <v>96</v>
      </c>
      <c r="AN332" s="56">
        <f t="shared" si="244"/>
        <v>88</v>
      </c>
      <c r="AO332" s="56">
        <f t="shared" si="244"/>
        <v>80</v>
      </c>
      <c r="AP332" s="56">
        <f t="shared" si="244"/>
        <v>87</v>
      </c>
      <c r="AQ332" s="56">
        <f t="shared" si="244"/>
        <v>116</v>
      </c>
      <c r="AR332" s="56">
        <f t="shared" si="244"/>
        <v>123</v>
      </c>
      <c r="AS332" s="56">
        <f t="shared" si="244"/>
        <v>121</v>
      </c>
      <c r="AT332" s="56">
        <f t="shared" si="244"/>
        <v>122</v>
      </c>
      <c r="AU332" s="56">
        <f t="shared" si="244"/>
        <v>105</v>
      </c>
      <c r="AV332" s="56">
        <f t="shared" si="244"/>
        <v>135</v>
      </c>
      <c r="AW332" s="56">
        <f t="shared" si="244"/>
        <v>149</v>
      </c>
      <c r="AX332" s="56"/>
      <c r="AY332" s="41">
        <f t="shared" si="238"/>
        <v>129.66666666666666</v>
      </c>
      <c r="AZ332" s="42">
        <f t="shared" si="239"/>
        <v>126.4</v>
      </c>
      <c r="BA332" s="42">
        <f t="shared" si="240"/>
        <v>112.6</v>
      </c>
      <c r="BB332" s="42"/>
      <c r="BC332" s="43">
        <f t="shared" si="243"/>
        <v>0.32326820603907647</v>
      </c>
    </row>
    <row r="333" spans="2:56" ht="11.25" customHeight="1">
      <c r="B333" s="36" t="s">
        <v>187</v>
      </c>
      <c r="D333" s="27" t="s">
        <v>257</v>
      </c>
      <c r="E333" s="28">
        <f t="shared" ref="E333:AT333" si="245">E270</f>
        <v>0</v>
      </c>
      <c r="F333" s="28">
        <f t="shared" si="245"/>
        <v>0</v>
      </c>
      <c r="G333" s="28">
        <f t="shared" si="245"/>
        <v>0</v>
      </c>
      <c r="H333" s="28">
        <f t="shared" si="245"/>
        <v>0</v>
      </c>
      <c r="I333" s="28">
        <f t="shared" si="245"/>
        <v>0</v>
      </c>
      <c r="J333" s="28">
        <f t="shared" si="245"/>
        <v>0</v>
      </c>
      <c r="K333" s="28">
        <f t="shared" si="245"/>
        <v>31</v>
      </c>
      <c r="L333" s="28">
        <f t="shared" si="245"/>
        <v>25</v>
      </c>
      <c r="M333" s="28">
        <f t="shared" si="245"/>
        <v>30</v>
      </c>
      <c r="N333" s="28">
        <f t="shared" si="245"/>
        <v>28</v>
      </c>
      <c r="O333" s="28">
        <f t="shared" si="245"/>
        <v>30</v>
      </c>
      <c r="P333" s="28">
        <f t="shared" si="245"/>
        <v>42</v>
      </c>
      <c r="Q333" s="28">
        <f t="shared" si="245"/>
        <v>41</v>
      </c>
      <c r="R333" s="28">
        <f t="shared" si="245"/>
        <v>37</v>
      </c>
      <c r="S333" s="28">
        <f t="shared" si="245"/>
        <v>39</v>
      </c>
      <c r="T333" s="28">
        <f t="shared" si="245"/>
        <v>40</v>
      </c>
      <c r="U333" s="28">
        <f t="shared" si="245"/>
        <v>39</v>
      </c>
      <c r="V333" s="28">
        <f t="shared" si="245"/>
        <v>35</v>
      </c>
      <c r="W333" s="28">
        <f t="shared" si="245"/>
        <v>41</v>
      </c>
      <c r="X333" s="28">
        <f t="shared" si="245"/>
        <v>37</v>
      </c>
      <c r="Y333" s="28">
        <f t="shared" si="245"/>
        <v>38</v>
      </c>
      <c r="Z333" s="28">
        <f t="shared" si="245"/>
        <v>43</v>
      </c>
      <c r="AA333" s="28">
        <f t="shared" si="245"/>
        <v>44</v>
      </c>
      <c r="AB333" s="28">
        <f t="shared" si="245"/>
        <v>45</v>
      </c>
      <c r="AC333" s="28">
        <f t="shared" si="245"/>
        <v>42</v>
      </c>
      <c r="AD333" s="28">
        <f t="shared" si="245"/>
        <v>39</v>
      </c>
      <c r="AE333" s="28">
        <f t="shared" si="245"/>
        <v>35</v>
      </c>
      <c r="AF333" s="28">
        <f t="shared" si="245"/>
        <v>46</v>
      </c>
      <c r="AG333" s="28">
        <f t="shared" si="245"/>
        <v>34</v>
      </c>
      <c r="AH333" s="28">
        <f t="shared" si="245"/>
        <v>44</v>
      </c>
      <c r="AI333" s="28">
        <f t="shared" si="245"/>
        <v>38</v>
      </c>
      <c r="AJ333" s="28">
        <f t="shared" si="245"/>
        <v>44</v>
      </c>
      <c r="AK333" s="28">
        <f t="shared" si="245"/>
        <v>41</v>
      </c>
      <c r="AL333" s="28">
        <f t="shared" si="245"/>
        <v>44</v>
      </c>
      <c r="AM333" s="28">
        <f t="shared" si="245"/>
        <v>47</v>
      </c>
      <c r="AN333" s="28">
        <f t="shared" si="245"/>
        <v>40</v>
      </c>
      <c r="AO333" s="28">
        <f t="shared" si="245"/>
        <v>39</v>
      </c>
      <c r="AP333" s="28">
        <f t="shared" si="245"/>
        <v>41</v>
      </c>
      <c r="AQ333" s="28">
        <f t="shared" si="245"/>
        <v>45</v>
      </c>
      <c r="AR333" s="28">
        <f t="shared" si="245"/>
        <v>43</v>
      </c>
      <c r="AS333" s="28">
        <f t="shared" si="245"/>
        <v>39</v>
      </c>
      <c r="AT333" s="28">
        <f t="shared" si="245"/>
        <v>39</v>
      </c>
      <c r="AU333" s="56">
        <f>AU274</f>
        <v>46</v>
      </c>
      <c r="AV333" s="28">
        <f>AV274</f>
        <v>47</v>
      </c>
      <c r="AW333" s="28">
        <f>AW274</f>
        <v>37</v>
      </c>
      <c r="AX333" s="28"/>
      <c r="AY333" s="31">
        <f t="shared" si="238"/>
        <v>43.333333333333336</v>
      </c>
      <c r="AZ333" s="5">
        <f t="shared" si="239"/>
        <v>41.6</v>
      </c>
      <c r="BA333" s="5">
        <f t="shared" si="240"/>
        <v>41.6</v>
      </c>
      <c r="BB333" s="5"/>
      <c r="BC333" s="32">
        <f t="shared" si="243"/>
        <v>-0.1105769230769231</v>
      </c>
    </row>
    <row r="334" spans="2:56" s="40" customFormat="1" ht="11" customHeight="1">
      <c r="B334" s="52"/>
      <c r="D334" s="57" t="s">
        <v>162</v>
      </c>
      <c r="E334" s="56">
        <f t="shared" ref="E334:AQ334" si="246">E144+E189+E232+E258+E284+E271</f>
        <v>320</v>
      </c>
      <c r="F334" s="56">
        <f t="shared" si="246"/>
        <v>369</v>
      </c>
      <c r="G334" s="56">
        <f t="shared" si="246"/>
        <v>375</v>
      </c>
      <c r="H334" s="56">
        <f t="shared" si="246"/>
        <v>359</v>
      </c>
      <c r="I334" s="56">
        <f t="shared" si="246"/>
        <v>356</v>
      </c>
      <c r="J334" s="56">
        <f t="shared" si="246"/>
        <v>344</v>
      </c>
      <c r="K334" s="56">
        <f t="shared" si="246"/>
        <v>289</v>
      </c>
      <c r="L334" s="56">
        <f t="shared" si="246"/>
        <v>356</v>
      </c>
      <c r="M334" s="56">
        <f t="shared" si="246"/>
        <v>311</v>
      </c>
      <c r="N334" s="56">
        <f t="shared" si="246"/>
        <v>352</v>
      </c>
      <c r="O334" s="56">
        <f t="shared" si="246"/>
        <v>338</v>
      </c>
      <c r="P334" s="56">
        <f>P144+P189+P232+P258+P284+P271</f>
        <v>443</v>
      </c>
      <c r="Q334" s="56">
        <f t="shared" si="246"/>
        <v>379</v>
      </c>
      <c r="R334" s="56">
        <f t="shared" si="246"/>
        <v>445</v>
      </c>
      <c r="S334" s="56">
        <f t="shared" si="246"/>
        <v>477</v>
      </c>
      <c r="T334" s="56">
        <f t="shared" si="246"/>
        <v>467</v>
      </c>
      <c r="U334" s="56">
        <f t="shared" si="246"/>
        <v>550</v>
      </c>
      <c r="V334" s="56">
        <f t="shared" si="246"/>
        <v>518</v>
      </c>
      <c r="W334" s="56">
        <f t="shared" si="246"/>
        <v>590</v>
      </c>
      <c r="X334" s="56">
        <f t="shared" si="246"/>
        <v>640</v>
      </c>
      <c r="Y334" s="56">
        <f t="shared" si="246"/>
        <v>542</v>
      </c>
      <c r="Z334" s="56">
        <f t="shared" si="246"/>
        <v>587</v>
      </c>
      <c r="AA334" s="56">
        <f t="shared" si="246"/>
        <v>506</v>
      </c>
      <c r="AB334" s="56">
        <f t="shared" si="246"/>
        <v>537</v>
      </c>
      <c r="AC334" s="56">
        <f t="shared" si="246"/>
        <v>636</v>
      </c>
      <c r="AD334" s="56">
        <f t="shared" si="246"/>
        <v>615</v>
      </c>
      <c r="AE334" s="56">
        <f t="shared" si="246"/>
        <v>668</v>
      </c>
      <c r="AF334" s="56">
        <f t="shared" si="246"/>
        <v>779</v>
      </c>
      <c r="AG334" s="56">
        <f t="shared" si="246"/>
        <v>724</v>
      </c>
      <c r="AH334" s="56">
        <f t="shared" si="246"/>
        <v>710</v>
      </c>
      <c r="AI334" s="56">
        <f t="shared" si="246"/>
        <v>721</v>
      </c>
      <c r="AJ334" s="56">
        <f t="shared" si="246"/>
        <v>771</v>
      </c>
      <c r="AK334" s="56">
        <f t="shared" si="246"/>
        <v>771</v>
      </c>
      <c r="AL334" s="56">
        <f t="shared" si="246"/>
        <v>868</v>
      </c>
      <c r="AM334" s="56">
        <f t="shared" si="246"/>
        <v>872</v>
      </c>
      <c r="AN334" s="56">
        <f t="shared" si="246"/>
        <v>871</v>
      </c>
      <c r="AO334" s="56">
        <f t="shared" si="246"/>
        <v>854</v>
      </c>
      <c r="AP334" s="56">
        <f t="shared" si="246"/>
        <v>761</v>
      </c>
      <c r="AQ334" s="56">
        <f t="shared" si="246"/>
        <v>777</v>
      </c>
      <c r="AR334" s="56">
        <f t="shared" ref="AR334:AW334" si="247">AR144+AR189+AR232+AR258+AR284+AR271</f>
        <v>826</v>
      </c>
      <c r="AS334" s="56">
        <f t="shared" si="247"/>
        <v>819</v>
      </c>
      <c r="AT334" s="56">
        <f t="shared" si="247"/>
        <v>728</v>
      </c>
      <c r="AU334" s="56">
        <f t="shared" si="247"/>
        <v>647</v>
      </c>
      <c r="AV334" s="56">
        <f t="shared" si="247"/>
        <v>719</v>
      </c>
      <c r="AW334" s="56">
        <f t="shared" si="247"/>
        <v>635</v>
      </c>
      <c r="AX334" s="56"/>
      <c r="AY334" s="41">
        <f t="shared" si="238"/>
        <v>667</v>
      </c>
      <c r="AZ334" s="42">
        <f t="shared" si="239"/>
        <v>709.6</v>
      </c>
      <c r="BA334" s="42">
        <f t="shared" si="240"/>
        <v>763.7</v>
      </c>
      <c r="BB334" s="42"/>
      <c r="BC334" s="43">
        <f t="shared" si="243"/>
        <v>-0.16852167081314656</v>
      </c>
    </row>
    <row r="335" spans="2:56" ht="11.25" customHeight="1">
      <c r="D335" s="1" t="s">
        <v>228</v>
      </c>
      <c r="E335" s="28">
        <f t="shared" ref="E335:AW335" si="248">E233</f>
        <v>0</v>
      </c>
      <c r="F335" s="28">
        <f t="shared" si="248"/>
        <v>0</v>
      </c>
      <c r="G335" s="28">
        <f t="shared" si="248"/>
        <v>0</v>
      </c>
      <c r="H335" s="28">
        <f t="shared" si="248"/>
        <v>0</v>
      </c>
      <c r="I335" s="28">
        <f t="shared" si="248"/>
        <v>0</v>
      </c>
      <c r="J335" s="28">
        <f t="shared" si="248"/>
        <v>0</v>
      </c>
      <c r="K335" s="28">
        <f t="shared" si="248"/>
        <v>0</v>
      </c>
      <c r="L335" s="28">
        <f t="shared" si="248"/>
        <v>0</v>
      </c>
      <c r="M335" s="28">
        <f t="shared" si="248"/>
        <v>0</v>
      </c>
      <c r="N335" s="28">
        <f t="shared" si="248"/>
        <v>0</v>
      </c>
      <c r="O335" s="28">
        <f t="shared" si="248"/>
        <v>0</v>
      </c>
      <c r="P335" s="28">
        <f t="shared" si="248"/>
        <v>0</v>
      </c>
      <c r="Q335" s="28">
        <f t="shared" si="248"/>
        <v>0</v>
      </c>
      <c r="R335" s="28">
        <f t="shared" si="248"/>
        <v>0</v>
      </c>
      <c r="S335" s="28">
        <f t="shared" si="248"/>
        <v>0</v>
      </c>
      <c r="T335" s="28">
        <f t="shared" si="248"/>
        <v>0</v>
      </c>
      <c r="U335" s="28">
        <f t="shared" si="248"/>
        <v>0</v>
      </c>
      <c r="V335" s="28">
        <f t="shared" si="248"/>
        <v>0</v>
      </c>
      <c r="W335" s="28">
        <f t="shared" si="248"/>
        <v>0</v>
      </c>
      <c r="X335" s="28">
        <f t="shared" si="248"/>
        <v>0</v>
      </c>
      <c r="Y335" s="28">
        <f t="shared" si="248"/>
        <v>0</v>
      </c>
      <c r="Z335" s="28">
        <f t="shared" si="248"/>
        <v>0</v>
      </c>
      <c r="AA335" s="28">
        <f t="shared" si="248"/>
        <v>0</v>
      </c>
      <c r="AB335" s="28">
        <f t="shared" si="248"/>
        <v>0</v>
      </c>
      <c r="AC335" s="28">
        <f t="shared" si="248"/>
        <v>0</v>
      </c>
      <c r="AD335" s="28">
        <f t="shared" si="248"/>
        <v>0</v>
      </c>
      <c r="AE335" s="28">
        <f t="shared" si="248"/>
        <v>0</v>
      </c>
      <c r="AF335" s="28">
        <f t="shared" si="248"/>
        <v>3</v>
      </c>
      <c r="AG335" s="28">
        <f t="shared" si="248"/>
        <v>29</v>
      </c>
      <c r="AH335" s="28">
        <f t="shared" si="248"/>
        <v>31</v>
      </c>
      <c r="AI335" s="28">
        <f t="shared" si="248"/>
        <v>28</v>
      </c>
      <c r="AJ335" s="28">
        <f t="shared" si="248"/>
        <v>42</v>
      </c>
      <c r="AK335" s="28">
        <f t="shared" si="248"/>
        <v>31</v>
      </c>
      <c r="AL335" s="28">
        <f t="shared" si="248"/>
        <v>22</v>
      </c>
      <c r="AM335" s="28">
        <f t="shared" si="248"/>
        <v>26</v>
      </c>
      <c r="AN335" s="28">
        <f t="shared" si="248"/>
        <v>28</v>
      </c>
      <c r="AO335" s="28">
        <f t="shared" si="248"/>
        <v>13</v>
      </c>
      <c r="AP335" s="28">
        <f t="shared" si="248"/>
        <v>14</v>
      </c>
      <c r="AQ335" s="28">
        <f t="shared" si="248"/>
        <v>17</v>
      </c>
      <c r="AR335" s="28">
        <f t="shared" si="248"/>
        <v>17</v>
      </c>
      <c r="AS335" s="28">
        <f t="shared" si="248"/>
        <v>9</v>
      </c>
      <c r="AT335" s="28">
        <f t="shared" si="248"/>
        <v>23</v>
      </c>
      <c r="AU335" s="28">
        <f t="shared" si="248"/>
        <v>19</v>
      </c>
      <c r="AV335" s="28">
        <f t="shared" si="248"/>
        <v>23</v>
      </c>
      <c r="AW335" s="28">
        <f t="shared" si="248"/>
        <v>31</v>
      </c>
      <c r="AX335" s="28"/>
      <c r="AY335" s="31">
        <f t="shared" si="238"/>
        <v>24.333333333333332</v>
      </c>
      <c r="AZ335" s="5">
        <f>IF(SUM(AS335:AW335)&gt;=0,AVERAGE(AS335:AW335),"")</f>
        <v>21</v>
      </c>
      <c r="BA335" s="5">
        <f t="shared" si="240"/>
        <v>19.399999999999999</v>
      </c>
      <c r="BB335" s="5"/>
      <c r="BC335" s="32">
        <f t="shared" si="243"/>
        <v>0.597938144329897</v>
      </c>
    </row>
    <row r="336" spans="2:56" ht="11.25" customHeight="1">
      <c r="D336" s="27" t="s">
        <v>163</v>
      </c>
      <c r="E336" s="28">
        <f t="shared" ref="E336:AQ336" si="249">E145+E190+E234+E259</f>
        <v>3</v>
      </c>
      <c r="F336" s="28">
        <f t="shared" si="249"/>
        <v>8</v>
      </c>
      <c r="G336" s="28">
        <f t="shared" si="249"/>
        <v>7</v>
      </c>
      <c r="H336" s="28">
        <f t="shared" si="249"/>
        <v>10</v>
      </c>
      <c r="I336" s="28">
        <f t="shared" si="249"/>
        <v>7</v>
      </c>
      <c r="J336" s="28">
        <f t="shared" si="249"/>
        <v>9</v>
      </c>
      <c r="K336" s="28">
        <f t="shared" si="249"/>
        <v>14</v>
      </c>
      <c r="L336" s="28">
        <f t="shared" si="249"/>
        <v>12</v>
      </c>
      <c r="M336" s="28">
        <f t="shared" si="249"/>
        <v>15</v>
      </c>
      <c r="N336" s="28">
        <f t="shared" si="249"/>
        <v>13</v>
      </c>
      <c r="O336" s="28">
        <f t="shared" si="249"/>
        <v>19</v>
      </c>
      <c r="P336" s="28">
        <f t="shared" si="249"/>
        <v>18</v>
      </c>
      <c r="Q336" s="28">
        <f t="shared" si="249"/>
        <v>23</v>
      </c>
      <c r="R336" s="28">
        <f t="shared" si="249"/>
        <v>28</v>
      </c>
      <c r="S336" s="28">
        <f t="shared" si="249"/>
        <v>25</v>
      </c>
      <c r="T336" s="28">
        <f t="shared" si="249"/>
        <v>19</v>
      </c>
      <c r="U336" s="28">
        <f t="shared" si="249"/>
        <v>16</v>
      </c>
      <c r="V336" s="28">
        <f t="shared" si="249"/>
        <v>24</v>
      </c>
      <c r="W336" s="28">
        <f t="shared" si="249"/>
        <v>24</v>
      </c>
      <c r="X336" s="28">
        <f t="shared" si="249"/>
        <v>29</v>
      </c>
      <c r="Y336" s="28">
        <f t="shared" si="249"/>
        <v>34</v>
      </c>
      <c r="Z336" s="28">
        <f t="shared" si="249"/>
        <v>30</v>
      </c>
      <c r="AA336" s="28">
        <f t="shared" si="249"/>
        <v>38</v>
      </c>
      <c r="AB336" s="28">
        <f t="shared" si="249"/>
        <v>28</v>
      </c>
      <c r="AC336" s="28">
        <f t="shared" si="249"/>
        <v>39</v>
      </c>
      <c r="AD336" s="28">
        <f t="shared" si="249"/>
        <v>44</v>
      </c>
      <c r="AE336" s="28">
        <f t="shared" si="249"/>
        <v>33</v>
      </c>
      <c r="AF336" s="28">
        <f t="shared" si="249"/>
        <v>49</v>
      </c>
      <c r="AG336" s="28">
        <f t="shared" si="249"/>
        <v>58</v>
      </c>
      <c r="AH336" s="28">
        <f t="shared" si="249"/>
        <v>51</v>
      </c>
      <c r="AI336" s="28">
        <f t="shared" si="249"/>
        <v>61</v>
      </c>
      <c r="AJ336" s="28">
        <f t="shared" si="249"/>
        <v>63</v>
      </c>
      <c r="AK336" s="28">
        <f t="shared" si="249"/>
        <v>63</v>
      </c>
      <c r="AL336" s="28">
        <f t="shared" si="249"/>
        <v>50</v>
      </c>
      <c r="AM336" s="28">
        <f t="shared" si="249"/>
        <v>74</v>
      </c>
      <c r="AN336" s="28">
        <f t="shared" si="249"/>
        <v>60</v>
      </c>
      <c r="AO336" s="28">
        <f t="shared" si="249"/>
        <v>64</v>
      </c>
      <c r="AP336" s="28">
        <f t="shared" si="249"/>
        <v>83</v>
      </c>
      <c r="AQ336" s="28">
        <f t="shared" si="249"/>
        <v>75</v>
      </c>
      <c r="AR336" s="28">
        <f t="shared" ref="AR336:AW336" si="250">AR145+AR190+AR234+AR259</f>
        <v>106</v>
      </c>
      <c r="AS336" s="28">
        <f t="shared" si="250"/>
        <v>87</v>
      </c>
      <c r="AT336" s="28">
        <f t="shared" si="250"/>
        <v>92</v>
      </c>
      <c r="AU336" s="56">
        <f t="shared" si="250"/>
        <v>130</v>
      </c>
      <c r="AV336" s="56">
        <f t="shared" si="250"/>
        <v>125</v>
      </c>
      <c r="AW336" s="56">
        <f t="shared" si="250"/>
        <v>136</v>
      </c>
      <c r="AX336" s="28"/>
      <c r="AY336" s="31">
        <f t="shared" si="238"/>
        <v>130.33333333333334</v>
      </c>
      <c r="AZ336" s="5">
        <f t="shared" si="239"/>
        <v>114</v>
      </c>
      <c r="BA336" s="5">
        <f t="shared" si="240"/>
        <v>95.8</v>
      </c>
      <c r="BB336" s="5"/>
      <c r="BC336" s="32">
        <f t="shared" si="243"/>
        <v>0.41962421711899794</v>
      </c>
    </row>
    <row r="337" spans="2:56" ht="11.25" customHeight="1">
      <c r="AQ337" s="40"/>
      <c r="AY337" s="32"/>
      <c r="AZ337" s="4"/>
      <c r="BA337" s="4"/>
      <c r="BC337" s="33"/>
    </row>
    <row r="338" spans="2:56" ht="11.25" customHeight="1">
      <c r="D338" s="1" t="s">
        <v>298</v>
      </c>
      <c r="E338" s="56">
        <f t="shared" ref="E338:AQ338" si="251">SUM(E330:E336)</f>
        <v>1645</v>
      </c>
      <c r="F338" s="56">
        <f t="shared" si="251"/>
        <v>1612</v>
      </c>
      <c r="G338" s="56">
        <f t="shared" si="251"/>
        <v>1584</v>
      </c>
      <c r="H338" s="56">
        <f t="shared" si="251"/>
        <v>1570</v>
      </c>
      <c r="I338" s="56">
        <f t="shared" si="251"/>
        <v>1580</v>
      </c>
      <c r="J338" s="56">
        <f t="shared" si="251"/>
        <v>1531</v>
      </c>
      <c r="K338" s="56">
        <f t="shared" si="251"/>
        <v>1451</v>
      </c>
      <c r="L338" s="56">
        <f t="shared" si="251"/>
        <v>1541</v>
      </c>
      <c r="M338" s="56">
        <f t="shared" si="251"/>
        <v>1555</v>
      </c>
      <c r="N338" s="56">
        <f t="shared" si="251"/>
        <v>1611</v>
      </c>
      <c r="O338" s="56">
        <f t="shared" si="251"/>
        <v>1730</v>
      </c>
      <c r="P338" s="56">
        <f>SUM(P330:P336)</f>
        <v>1979</v>
      </c>
      <c r="Q338" s="56">
        <f t="shared" si="251"/>
        <v>1997</v>
      </c>
      <c r="R338" s="56">
        <f t="shared" si="251"/>
        <v>2102</v>
      </c>
      <c r="S338" s="56">
        <f t="shared" si="251"/>
        <v>2149</v>
      </c>
      <c r="T338" s="56">
        <f t="shared" si="251"/>
        <v>2132</v>
      </c>
      <c r="U338" s="56">
        <f t="shared" si="251"/>
        <v>2295</v>
      </c>
      <c r="V338" s="56">
        <f t="shared" si="251"/>
        <v>2178</v>
      </c>
      <c r="W338" s="56">
        <f t="shared" si="251"/>
        <v>2168</v>
      </c>
      <c r="X338" s="56">
        <f t="shared" si="251"/>
        <v>2306</v>
      </c>
      <c r="Y338" s="56">
        <f t="shared" si="251"/>
        <v>2195</v>
      </c>
      <c r="Z338" s="56">
        <f t="shared" si="251"/>
        <v>2304</v>
      </c>
      <c r="AA338" s="56">
        <f t="shared" si="251"/>
        <v>2219</v>
      </c>
      <c r="AB338" s="56">
        <f t="shared" si="251"/>
        <v>2330</v>
      </c>
      <c r="AC338" s="56">
        <f t="shared" si="251"/>
        <v>2470</v>
      </c>
      <c r="AD338" s="56">
        <f t="shared" si="251"/>
        <v>2541</v>
      </c>
      <c r="AE338" s="56">
        <f t="shared" si="251"/>
        <v>2650</v>
      </c>
      <c r="AF338" s="56">
        <f t="shared" si="251"/>
        <v>2778</v>
      </c>
      <c r="AG338" s="56">
        <f t="shared" si="251"/>
        <v>2797</v>
      </c>
      <c r="AH338" s="56">
        <f t="shared" si="251"/>
        <v>2920</v>
      </c>
      <c r="AI338" s="56">
        <f t="shared" si="251"/>
        <v>2898</v>
      </c>
      <c r="AJ338" s="56">
        <f t="shared" si="251"/>
        <v>3016</v>
      </c>
      <c r="AK338" s="56">
        <f t="shared" si="251"/>
        <v>2998</v>
      </c>
      <c r="AL338" s="56">
        <f t="shared" si="251"/>
        <v>3147</v>
      </c>
      <c r="AM338" s="56">
        <f t="shared" si="251"/>
        <v>3078</v>
      </c>
      <c r="AN338" s="56">
        <f t="shared" si="251"/>
        <v>3063</v>
      </c>
      <c r="AO338" s="56">
        <f t="shared" si="251"/>
        <v>3090</v>
      </c>
      <c r="AP338" s="56">
        <f t="shared" si="251"/>
        <v>3266</v>
      </c>
      <c r="AQ338" s="56">
        <f t="shared" si="251"/>
        <v>3286</v>
      </c>
      <c r="AR338" s="56">
        <f t="shared" ref="AR338:AS338" si="252">SUM(AR330:AR336)</f>
        <v>3223</v>
      </c>
      <c r="AS338" s="56">
        <f t="shared" si="252"/>
        <v>3098</v>
      </c>
      <c r="AT338" s="56">
        <f t="shared" ref="AT338:AW338" si="253">SUM(AT330:AT336)</f>
        <v>2993</v>
      </c>
      <c r="AU338" s="56">
        <f t="shared" si="253"/>
        <v>2887</v>
      </c>
      <c r="AV338" s="28">
        <f t="shared" si="253"/>
        <v>3031</v>
      </c>
      <c r="AW338" s="28">
        <f t="shared" si="253"/>
        <v>2872</v>
      </c>
      <c r="AX338" s="28"/>
      <c r="AY338" s="31">
        <f>IF(SUM(AU338:AW338)&gt;=0,AVERAGE(AU338:AW338),"")</f>
        <v>2930</v>
      </c>
      <c r="AZ338" s="5">
        <f>IF(SUM(AS338:AW338)&gt;=0,AVERAGE(AS338:AW338),"")</f>
        <v>2976.2</v>
      </c>
      <c r="BA338" s="5">
        <f>IF(SUM(AN338:AW338)&gt;=0,AVERAGE(AN338:AW338),"")</f>
        <v>3080.9</v>
      </c>
      <c r="BB338" s="5"/>
      <c r="BC338" s="32">
        <f>(AW338-BA338)/BA338</f>
        <v>-6.7804862215586376E-2</v>
      </c>
    </row>
    <row r="339" spans="2:56" ht="11.25" customHeight="1">
      <c r="AB339" s="7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4" t="str">
        <f>IF(AA339&gt;0,IF(AA339&gt;9,(AA339-Z339)/Z339,"&lt;10 cases"),"")</f>
        <v/>
      </c>
      <c r="AZ339" s="4" t="str">
        <f>IF(AA339&gt;0,IF(AA339&gt;9,(AA339-(SUM(V339:Z339)/5))/AA339,"&lt;10 cases"),"")</f>
        <v/>
      </c>
      <c r="BA339" s="4" t="str">
        <f>IF(AA339&gt;0,IF(AA339&gt;9,(AA339-SUM(Q339:Z339)/10)/AA339,"&lt;10 cases"),"")</f>
        <v/>
      </c>
      <c r="BB339" s="4" t="str">
        <f>IF(AB339&gt;0,IF(AB339&gt;9,(AB339-SUM(R339:AA339)/10)/AB339,"&lt;10 cases"),"")</f>
        <v/>
      </c>
      <c r="BC339" s="4" t="str">
        <f>IF(AC339&gt;0,IF(AC339&gt;9,(AC339-SUM(S339:AB339)/10)/AC339,"&lt;10 cases"),"")</f>
        <v/>
      </c>
      <c r="BD339" s="4" t="str">
        <f>IF(AD339&gt;0,IF(AD339&gt;9,(AD339-SUM(T339:AC339)/10)/AD339,"&lt;10 cases"),"")</f>
        <v/>
      </c>
    </row>
    <row r="340" spans="2:56" ht="11.25" customHeight="1"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4"/>
      <c r="AZ340" s="4"/>
      <c r="BA340" s="4"/>
    </row>
    <row r="341" spans="2:56" ht="11.25" customHeight="1">
      <c r="B341" s="1" t="s">
        <v>299</v>
      </c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4"/>
      <c r="AZ341" s="4"/>
      <c r="BA341" s="4"/>
    </row>
    <row r="342" spans="2:56" ht="11.25" customHeight="1">
      <c r="B342" s="1" t="s">
        <v>300</v>
      </c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4"/>
      <c r="AZ342" s="4"/>
      <c r="BA342" s="4"/>
    </row>
    <row r="343" spans="2:56" ht="11.25" customHeight="1">
      <c r="B343" s="1" t="s">
        <v>301</v>
      </c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4"/>
      <c r="AZ343" s="4"/>
      <c r="BA343" s="4"/>
    </row>
    <row r="344" spans="2:56" ht="11.25" customHeight="1">
      <c r="B344" s="1" t="s">
        <v>302</v>
      </c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4"/>
      <c r="AZ344" s="4"/>
      <c r="BA344" s="4"/>
    </row>
    <row r="345" spans="2:56" ht="11.25" customHeight="1">
      <c r="B345" s="1" t="s">
        <v>303</v>
      </c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4"/>
      <c r="AZ345" s="4"/>
      <c r="BA345" s="4"/>
    </row>
    <row r="346" spans="2:56" ht="11.25" customHeight="1">
      <c r="B346" s="1" t="s">
        <v>304</v>
      </c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4"/>
      <c r="AZ346" s="4"/>
      <c r="BA346" s="4"/>
    </row>
    <row r="347" spans="2:56" ht="11.25" customHeight="1">
      <c r="B347" s="1" t="s">
        <v>305</v>
      </c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4"/>
      <c r="AZ347" s="4"/>
      <c r="BA347" s="4"/>
    </row>
    <row r="348" spans="2:56" ht="11.25" customHeight="1">
      <c r="B348" s="1" t="s">
        <v>306</v>
      </c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4"/>
      <c r="AZ348" s="4"/>
      <c r="BA348" s="4"/>
    </row>
    <row r="349" spans="2:56" ht="11.25" customHeight="1">
      <c r="B349" s="1" t="s">
        <v>307</v>
      </c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4"/>
      <c r="AZ349" s="4"/>
      <c r="BA349" s="4"/>
    </row>
    <row r="350" spans="2:56" ht="11.25" customHeight="1">
      <c r="B350" s="1" t="s">
        <v>308</v>
      </c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4" t="str">
        <f>IF(AA350&gt;0,IF(AA350&gt;9,(AA350-Z350)/Z350,"&lt;10 cases"),"")</f>
        <v/>
      </c>
      <c r="AZ350" s="4" t="str">
        <f>IF(AA350&gt;0,IF(AA350&gt;9,(AA350-(SUM(V350:Z350)/5))/AA350,"&lt;10 cases"),"")</f>
        <v/>
      </c>
      <c r="BA350" s="4" t="str">
        <f>IF(AA350&gt;0,IF(AA350&gt;9,(AA350-SUM(Q350:Z350)/10)/AA350,"&lt;10 cases"),"")</f>
        <v/>
      </c>
    </row>
    <row r="351" spans="2:56" ht="11.25" customHeight="1">
      <c r="B351" s="1" t="s">
        <v>309</v>
      </c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4" t="str">
        <f>IF(AA351&gt;0,IF(AA351&gt;9,(AA351-Z351)/Z351,"&lt;10 cases"),"")</f>
        <v/>
      </c>
      <c r="AZ351" s="4" t="str">
        <f>IF(AA351&gt;0,IF(AA351&gt;9,(AA351-(SUM(V351:Z351)/5))/AA351,"&lt;10 cases"),"")</f>
        <v/>
      </c>
      <c r="BA351" s="4" t="str">
        <f>IF(AA351&gt;0,IF(AA351&gt;9,(AA351-SUM(Q351:Z351)/10)/AA351,"&lt;10 cases"),"")</f>
        <v/>
      </c>
    </row>
    <row r="352" spans="2:56" ht="11.25" customHeight="1">
      <c r="B352" s="1" t="s">
        <v>310</v>
      </c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4" t="str">
        <f>IF(AA352&gt;0,IF(AA352&gt;9,(AA352-Z352)/Z352,"&lt;10 cases"),"")</f>
        <v/>
      </c>
      <c r="AZ352" s="4" t="str">
        <f>IF(AA352&gt;0,IF(AA352&gt;9,(AA352-(SUM(V352:Z352)/5))/AA352,"&lt;10 cases"),"")</f>
        <v/>
      </c>
      <c r="BA352" s="4" t="str">
        <f>IF(AA352&gt;0,IF(AA352&gt;9,(AA352-SUM(Q352:Z352)/10)/AA352,"&lt;10 cases"),"")</f>
        <v/>
      </c>
    </row>
    <row r="353" spans="2:53" ht="11.25" customHeight="1">
      <c r="B353" s="1" t="s">
        <v>311</v>
      </c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4"/>
      <c r="AZ353" s="4"/>
      <c r="BA353" s="4"/>
    </row>
    <row r="354" spans="2:53" ht="11.25" customHeight="1">
      <c r="B354" s="1" t="s">
        <v>312</v>
      </c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4" t="str">
        <f t="shared" ref="AY354:AY359" si="254">IF(AA354&gt;0,IF(AA354&gt;9,(AA354-Z354)/Z354,"&lt;10 cases"),"")</f>
        <v/>
      </c>
      <c r="AZ354" s="4" t="str">
        <f t="shared" ref="AZ354:AZ359" si="255">IF(AA354&gt;0,IF(AA354&gt;9,(AA354-(SUM(V354:Z354)/5))/AA354,"&lt;10 cases"),"")</f>
        <v/>
      </c>
      <c r="BA354" s="4" t="str">
        <f t="shared" ref="BA354:BA359" si="256">IF(AA354&gt;0,IF(AA354&gt;9,(AA354-SUM(Q354:Z354)/10)/AA354,"&lt;10 cases"),"")</f>
        <v/>
      </c>
    </row>
    <row r="355" spans="2:53" ht="11.25" customHeight="1">
      <c r="B355" s="1" t="s">
        <v>313</v>
      </c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4" t="str">
        <f t="shared" si="254"/>
        <v/>
      </c>
      <c r="AZ355" s="4" t="str">
        <f t="shared" si="255"/>
        <v/>
      </c>
      <c r="BA355" s="4" t="str">
        <f t="shared" si="256"/>
        <v/>
      </c>
    </row>
    <row r="356" spans="2:53" ht="11.25" customHeight="1">
      <c r="B356" s="1" t="s">
        <v>314</v>
      </c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4" t="str">
        <f t="shared" si="254"/>
        <v/>
      </c>
      <c r="AZ356" s="4" t="str">
        <f t="shared" si="255"/>
        <v/>
      </c>
      <c r="BA356" s="4" t="str">
        <f t="shared" si="256"/>
        <v/>
      </c>
    </row>
    <row r="357" spans="2:53" ht="11.25" customHeight="1">
      <c r="B357" s="1" t="s">
        <v>315</v>
      </c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4" t="str">
        <f t="shared" si="254"/>
        <v/>
      </c>
      <c r="AZ357" s="4" t="str">
        <f t="shared" si="255"/>
        <v/>
      </c>
      <c r="BA357" s="4" t="str">
        <f t="shared" si="256"/>
        <v/>
      </c>
    </row>
    <row r="358" spans="2:53" ht="11.25" customHeight="1">
      <c r="B358" s="1" t="s">
        <v>316</v>
      </c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4" t="str">
        <f t="shared" si="254"/>
        <v/>
      </c>
      <c r="AZ358" s="4" t="str">
        <f t="shared" si="255"/>
        <v/>
      </c>
      <c r="BA358" s="4" t="str">
        <f t="shared" si="256"/>
        <v/>
      </c>
    </row>
    <row r="359" spans="2:53" ht="11.25" customHeight="1">
      <c r="B359" s="1" t="s">
        <v>317</v>
      </c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4" t="str">
        <f t="shared" si="254"/>
        <v/>
      </c>
      <c r="AZ359" s="4" t="str">
        <f t="shared" si="255"/>
        <v/>
      </c>
      <c r="BA359" s="4" t="str">
        <f t="shared" si="256"/>
        <v/>
      </c>
    </row>
    <row r="360" spans="2:53" ht="11.25" customHeight="1">
      <c r="B360" s="1" t="s">
        <v>318</v>
      </c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4"/>
      <c r="AZ360" s="4"/>
      <c r="BA360" s="4"/>
    </row>
    <row r="361" spans="2:53" ht="11.25" customHeight="1">
      <c r="B361" s="1" t="s">
        <v>319</v>
      </c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4"/>
      <c r="AZ361" s="4"/>
      <c r="BA361" s="4"/>
    </row>
    <row r="362" spans="2:53" ht="11.25" customHeight="1">
      <c r="B362" s="1" t="s">
        <v>320</v>
      </c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4"/>
      <c r="AZ362" s="4"/>
      <c r="BA362" s="4"/>
    </row>
    <row r="363" spans="2:53" ht="11.25" customHeight="1">
      <c r="B363" s="1" t="s">
        <v>321</v>
      </c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4"/>
      <c r="AZ363" s="4"/>
      <c r="BA363" s="4"/>
    </row>
    <row r="364" spans="2:53" ht="11.25" customHeight="1">
      <c r="B364" s="1" t="s">
        <v>322</v>
      </c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4"/>
      <c r="AZ364" s="4"/>
      <c r="BA364" s="4"/>
    </row>
    <row r="365" spans="2:53" ht="11.25" customHeight="1">
      <c r="B365" s="1" t="s">
        <v>323</v>
      </c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4"/>
      <c r="AZ365" s="4"/>
      <c r="BA365" s="4"/>
    </row>
    <row r="366" spans="2:53" ht="11.25" customHeight="1">
      <c r="B366" s="1" t="s">
        <v>324</v>
      </c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4"/>
      <c r="AZ366" s="4"/>
      <c r="BA366" s="4"/>
    </row>
    <row r="367" spans="2:53" ht="11.25" customHeight="1">
      <c r="B367" s="1" t="s">
        <v>325</v>
      </c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4"/>
      <c r="AZ367" s="4"/>
      <c r="BA367" s="4"/>
    </row>
    <row r="368" spans="2:53" ht="11.25" customHeight="1">
      <c r="B368" s="1" t="s">
        <v>404</v>
      </c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4"/>
      <c r="AZ368" s="4"/>
      <c r="BA368" s="4"/>
    </row>
    <row r="369" spans="2:53" ht="11.25" customHeight="1">
      <c r="B369" s="1" t="s">
        <v>326</v>
      </c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4"/>
      <c r="AZ369" s="4"/>
      <c r="BA369" s="4"/>
    </row>
    <row r="370" spans="2:53" ht="11.25" customHeight="1">
      <c r="B370" s="1" t="s">
        <v>327</v>
      </c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4"/>
      <c r="AZ370" s="4"/>
      <c r="BA370" s="4"/>
    </row>
    <row r="371" spans="2:53" ht="11.25" customHeight="1">
      <c r="B371" s="1" t="s">
        <v>328</v>
      </c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4"/>
      <c r="AZ371" s="4"/>
      <c r="BA371" s="4"/>
    </row>
    <row r="372" spans="2:53" ht="11.25" customHeight="1">
      <c r="B372" s="1" t="s">
        <v>329</v>
      </c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4"/>
      <c r="AZ372" s="4"/>
      <c r="BA372" s="4"/>
    </row>
    <row r="373" spans="2:53" ht="11.25" customHeight="1">
      <c r="B373" s="1" t="s">
        <v>330</v>
      </c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4"/>
      <c r="AZ373" s="4"/>
      <c r="BA373" s="4"/>
    </row>
    <row r="374" spans="2:53" ht="11.25" customHeight="1">
      <c r="B374" s="1" t="s">
        <v>331</v>
      </c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4"/>
      <c r="AZ374" s="4"/>
      <c r="BA374" s="4"/>
    </row>
    <row r="375" spans="2:53" ht="11.25" customHeight="1">
      <c r="B375" s="1" t="s">
        <v>332</v>
      </c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4"/>
      <c r="AZ375" s="4"/>
      <c r="BA375" s="4"/>
    </row>
    <row r="376" spans="2:53" ht="11.25" customHeight="1">
      <c r="B376" s="1" t="s">
        <v>333</v>
      </c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4"/>
      <c r="AZ376" s="4"/>
      <c r="BA376" s="4"/>
    </row>
    <row r="377" spans="2:53" ht="11.25" customHeight="1">
      <c r="B377" s="1" t="s">
        <v>334</v>
      </c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4"/>
      <c r="AZ377" s="4"/>
      <c r="BA377" s="4"/>
    </row>
    <row r="378" spans="2:53" ht="11.25" customHeight="1">
      <c r="B378" s="1" t="s">
        <v>335</v>
      </c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4"/>
      <c r="AZ378" s="4"/>
      <c r="BA378" s="4"/>
    </row>
    <row r="379" spans="2:53" ht="11.25" customHeight="1">
      <c r="B379" s="1" t="s">
        <v>336</v>
      </c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4"/>
      <c r="AZ379" s="4"/>
      <c r="BA379" s="4"/>
    </row>
    <row r="380" spans="2:53" ht="11.25" customHeight="1">
      <c r="B380" s="1" t="s">
        <v>337</v>
      </c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4"/>
      <c r="AZ380" s="4"/>
      <c r="BA380" s="4"/>
    </row>
    <row r="381" spans="2:53" ht="11.25" customHeight="1">
      <c r="B381" s="1" t="s">
        <v>338</v>
      </c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4"/>
      <c r="AZ381" s="4"/>
      <c r="BA381" s="4"/>
    </row>
    <row r="382" spans="2:53" ht="11.25" customHeight="1">
      <c r="B382" s="1" t="s">
        <v>339</v>
      </c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4"/>
      <c r="AZ382" s="4"/>
      <c r="BA382" s="4"/>
    </row>
    <row r="383" spans="2:53" ht="11.25" customHeight="1">
      <c r="B383" s="1" t="s">
        <v>340</v>
      </c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4"/>
      <c r="AZ383" s="4"/>
      <c r="BA383" s="4"/>
    </row>
    <row r="384" spans="2:53" ht="11.25" customHeight="1">
      <c r="B384" s="1" t="s">
        <v>341</v>
      </c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4"/>
      <c r="AZ384" s="4"/>
      <c r="BA384" s="4"/>
    </row>
    <row r="385" spans="2:53" ht="11.25" customHeight="1">
      <c r="B385" s="1" t="s">
        <v>342</v>
      </c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4"/>
      <c r="AZ385" s="4"/>
      <c r="BA385" s="4"/>
    </row>
    <row r="386" spans="2:53" ht="11.25" customHeight="1">
      <c r="B386" s="1" t="s">
        <v>343</v>
      </c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4"/>
      <c r="AZ386" s="4"/>
      <c r="BA386" s="4"/>
    </row>
    <row r="387" spans="2:53" ht="11.25" customHeight="1">
      <c r="B387" s="1" t="s">
        <v>344</v>
      </c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4"/>
      <c r="AZ387" s="4"/>
      <c r="BA387" s="4"/>
    </row>
    <row r="388" spans="2:53" ht="11.25" customHeight="1">
      <c r="B388" s="1" t="s">
        <v>345</v>
      </c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4"/>
      <c r="AZ388" s="4"/>
      <c r="BA388" s="4"/>
    </row>
    <row r="389" spans="2:53" ht="11.25" customHeight="1">
      <c r="B389" s="1" t="s">
        <v>346</v>
      </c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4"/>
      <c r="AZ389" s="4"/>
      <c r="BA389" s="4"/>
    </row>
    <row r="390" spans="2:53" ht="11.25" customHeight="1">
      <c r="B390" s="1" t="s">
        <v>347</v>
      </c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4"/>
      <c r="AZ390" s="4"/>
      <c r="BA390" s="4"/>
    </row>
    <row r="391" spans="2:53" ht="11.25" customHeight="1">
      <c r="B391" s="1" t="s">
        <v>348</v>
      </c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4"/>
      <c r="AZ391" s="4"/>
      <c r="BA391" s="4"/>
    </row>
    <row r="392" spans="2:53" ht="11.25" customHeight="1">
      <c r="B392" s="1" t="s">
        <v>349</v>
      </c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4"/>
      <c r="AZ392" s="4"/>
      <c r="BA392" s="4"/>
    </row>
    <row r="393" spans="2:53" ht="11.25" customHeight="1">
      <c r="B393" s="1" t="s">
        <v>350</v>
      </c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4"/>
      <c r="AZ393" s="4"/>
      <c r="BA393" s="4"/>
    </row>
    <row r="394" spans="2:53" ht="11.25" customHeight="1">
      <c r="B394" s="1" t="s">
        <v>351</v>
      </c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4"/>
      <c r="AZ394" s="4"/>
      <c r="BA394" s="4"/>
    </row>
    <row r="395" spans="2:53" ht="11.25" customHeight="1">
      <c r="B395" s="1" t="s">
        <v>352</v>
      </c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4"/>
      <c r="AZ395" s="4"/>
      <c r="BA395" s="4"/>
    </row>
    <row r="396" spans="2:53" ht="11.25" customHeight="1">
      <c r="B396" s="1" t="s">
        <v>353</v>
      </c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4"/>
      <c r="AZ396" s="4"/>
      <c r="BA396" s="4"/>
    </row>
    <row r="397" spans="2:53" ht="11.25" customHeight="1">
      <c r="B397" s="1" t="s">
        <v>354</v>
      </c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4"/>
      <c r="AZ397" s="4"/>
      <c r="BA397" s="4"/>
    </row>
    <row r="398" spans="2:53" ht="11.25" customHeight="1">
      <c r="B398" s="1" t="s">
        <v>355</v>
      </c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4"/>
      <c r="AZ398" s="4"/>
      <c r="BA398" s="4"/>
    </row>
    <row r="399" spans="2:53" ht="11.25" customHeight="1">
      <c r="B399" s="1" t="s">
        <v>356</v>
      </c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4"/>
      <c r="AZ399" s="4"/>
      <c r="BA399" s="4"/>
    </row>
    <row r="400" spans="2:53" ht="11.25" customHeight="1">
      <c r="B400" s="1" t="s">
        <v>357</v>
      </c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4"/>
      <c r="AZ400" s="4"/>
      <c r="BA400" s="4"/>
    </row>
    <row r="401" spans="2:53" ht="11.25" customHeight="1">
      <c r="B401" s="1" t="s">
        <v>358</v>
      </c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4"/>
      <c r="AZ401" s="4"/>
      <c r="BA401" s="4"/>
    </row>
    <row r="402" spans="2:53" ht="11.25" customHeight="1">
      <c r="B402" s="1" t="s">
        <v>359</v>
      </c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4"/>
      <c r="AZ402" s="4"/>
      <c r="BA402" s="4"/>
    </row>
    <row r="403" spans="2:53" ht="11.25" customHeight="1">
      <c r="B403" s="1" t="s">
        <v>360</v>
      </c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4"/>
      <c r="AZ403" s="4"/>
      <c r="BA403" s="4"/>
    </row>
    <row r="404" spans="2:53" ht="11.25" customHeight="1">
      <c r="B404" s="1" t="s">
        <v>361</v>
      </c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4"/>
      <c r="AZ404" s="4"/>
      <c r="BA404" s="4"/>
    </row>
    <row r="405" spans="2:53" ht="11.25" customHeight="1">
      <c r="B405" s="1" t="s">
        <v>362</v>
      </c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4"/>
      <c r="AZ405" s="4"/>
      <c r="BA405" s="4"/>
    </row>
    <row r="406" spans="2:53" ht="11.25" customHeight="1">
      <c r="B406" s="1" t="s">
        <v>363</v>
      </c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4" t="str">
        <f>IF(AA406&gt;0,IF(AA406&gt;9,(AA406-Z406)/Z406,"&lt;10 cases"),"")</f>
        <v/>
      </c>
      <c r="AZ406" s="4" t="str">
        <f>IF(AA406&gt;0,IF(AA406&gt;9,(AA406-(SUM(V406:Z406)/5))/AA406,"&lt;10 cases"),"")</f>
        <v/>
      </c>
      <c r="BA406" s="4" t="str">
        <f>IF(AA406&gt;0,IF(AA406&gt;9,(AA406-SUM(Q406:Z406)/10)/AA406,"&lt;10 cases"),"")</f>
        <v/>
      </c>
    </row>
    <row r="407" spans="2:53" ht="11.25" customHeight="1">
      <c r="B407" s="1" t="s">
        <v>405</v>
      </c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4"/>
      <c r="AZ407" s="4"/>
      <c r="BA407" s="4"/>
    </row>
    <row r="408" spans="2:53" ht="11.25" customHeight="1">
      <c r="B408" s="1" t="s">
        <v>406</v>
      </c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4"/>
      <c r="AZ408" s="4"/>
      <c r="BA408" s="4"/>
    </row>
    <row r="409" spans="2:53" ht="11.25" customHeight="1">
      <c r="B409" s="1" t="s">
        <v>407</v>
      </c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4"/>
      <c r="AZ409" s="4"/>
      <c r="BA409" s="4"/>
    </row>
    <row r="410" spans="2:53" ht="11.25" customHeight="1">
      <c r="B410" s="1" t="s">
        <v>408</v>
      </c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4"/>
      <c r="AZ410" s="4"/>
      <c r="BA410" s="4"/>
    </row>
    <row r="411" spans="2:53" ht="11.25" customHeight="1">
      <c r="B411" s="1" t="s">
        <v>409</v>
      </c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4"/>
      <c r="AZ411" s="4"/>
      <c r="BA411" s="4"/>
    </row>
    <row r="412" spans="2:53" ht="11.25" customHeight="1">
      <c r="B412" s="1" t="s">
        <v>410</v>
      </c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4"/>
      <c r="AZ412" s="4"/>
      <c r="BA412" s="4"/>
    </row>
    <row r="413" spans="2:53" ht="11.25" customHeight="1">
      <c r="B413" s="1" t="s">
        <v>411</v>
      </c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4"/>
      <c r="AZ413" s="4"/>
      <c r="BA413" s="4"/>
    </row>
    <row r="414" spans="2:53" ht="11.25" customHeight="1">
      <c r="B414" s="1" t="s">
        <v>412</v>
      </c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4"/>
      <c r="AZ414" s="4"/>
      <c r="BA414" s="4"/>
    </row>
    <row r="415" spans="2:53" ht="11.25" customHeight="1">
      <c r="B415" s="1" t="s">
        <v>413</v>
      </c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4"/>
      <c r="AZ415" s="4"/>
      <c r="BA415" s="4"/>
    </row>
    <row r="416" spans="2:53" ht="11.25" customHeight="1">
      <c r="B416" s="1" t="s">
        <v>414</v>
      </c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4"/>
      <c r="AZ416" s="4"/>
      <c r="BA416" s="4"/>
    </row>
    <row r="417" spans="2:53" ht="11.25" customHeight="1">
      <c r="B417" s="1" t="s">
        <v>415</v>
      </c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4"/>
      <c r="AZ417" s="4"/>
      <c r="BA417" s="4"/>
    </row>
    <row r="418" spans="2:53" ht="11.25" customHeight="1">
      <c r="B418" s="1" t="s">
        <v>416</v>
      </c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4"/>
      <c r="AZ418" s="4"/>
      <c r="BA418" s="4"/>
    </row>
    <row r="419" spans="2:53" ht="11.25" customHeight="1">
      <c r="B419" s="1" t="s">
        <v>417</v>
      </c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4" t="str">
        <f>IF(AA419&gt;0,IF(AA419&gt;9,(AA419-Z419)/Z419,"&lt;10 cases"),"")</f>
        <v/>
      </c>
      <c r="AZ419" s="4" t="str">
        <f>IF(AA419&gt;0,IF(AA419&gt;9,(AA419-(SUM(V419:Z419)/5))/AA419,"&lt;10 cases"),"")</f>
        <v/>
      </c>
      <c r="BA419" s="4" t="str">
        <f>IF(AA419&gt;0,IF(AA419&gt;9,(AA419-SUM(Q419:Z419)/10)/AA419,"&lt;10 cases"),"")</f>
        <v/>
      </c>
    </row>
    <row r="420" spans="2:53">
      <c r="B420" s="1" t="s">
        <v>418</v>
      </c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4" t="str">
        <f t="shared" ref="AY420:AY481" si="257">IF(AA420&gt;0,IF(AA420&gt;9,(AA420-Z420)/Z420,"&lt;10 cases"),"")</f>
        <v/>
      </c>
      <c r="AZ420" s="4" t="str">
        <f t="shared" ref="AZ420:AZ481" si="258">IF(AA420&gt;0,IF(AA420&gt;9,(AA420-(SUM(V420:Z420)/5))/AA420,"&lt;10 cases"),"")</f>
        <v/>
      </c>
      <c r="BA420" s="4" t="str">
        <f t="shared" ref="BA420:BA481" si="259">IF(AA420&gt;0,IF(AA420&gt;9,(AA420-SUM(Q420:Z420)/10)/AA420,"&lt;10 cases"),"")</f>
        <v/>
      </c>
    </row>
    <row r="421" spans="2:53">
      <c r="B421" s="1" t="s">
        <v>419</v>
      </c>
      <c r="AY421" s="4" t="str">
        <f t="shared" si="257"/>
        <v/>
      </c>
      <c r="AZ421" s="4" t="str">
        <f t="shared" si="258"/>
        <v/>
      </c>
      <c r="BA421" s="4" t="str">
        <f t="shared" si="259"/>
        <v/>
      </c>
    </row>
    <row r="422" spans="2:53">
      <c r="B422" s="1" t="s">
        <v>420</v>
      </c>
      <c r="AY422" s="4" t="str">
        <f t="shared" si="257"/>
        <v/>
      </c>
      <c r="AZ422" s="4" t="str">
        <f t="shared" si="258"/>
        <v/>
      </c>
      <c r="BA422" s="4" t="str">
        <f t="shared" si="259"/>
        <v/>
      </c>
    </row>
    <row r="423" spans="2:53">
      <c r="B423" s="1" t="s">
        <v>421</v>
      </c>
      <c r="AY423" s="4" t="str">
        <f t="shared" si="257"/>
        <v/>
      </c>
      <c r="AZ423" s="4" t="str">
        <f t="shared" si="258"/>
        <v/>
      </c>
      <c r="BA423" s="4" t="str">
        <f t="shared" si="259"/>
        <v/>
      </c>
    </row>
    <row r="424" spans="2:53">
      <c r="B424" s="1" t="s">
        <v>422</v>
      </c>
      <c r="AY424" s="4" t="str">
        <f t="shared" si="257"/>
        <v/>
      </c>
      <c r="AZ424" s="4" t="str">
        <f t="shared" si="258"/>
        <v/>
      </c>
      <c r="BA424" s="4" t="str">
        <f t="shared" si="259"/>
        <v/>
      </c>
    </row>
    <row r="425" spans="2:53">
      <c r="B425" s="1" t="s">
        <v>423</v>
      </c>
      <c r="AY425" s="4" t="str">
        <f t="shared" si="257"/>
        <v/>
      </c>
      <c r="AZ425" s="4" t="str">
        <f t="shared" si="258"/>
        <v/>
      </c>
      <c r="BA425" s="4" t="str">
        <f t="shared" si="259"/>
        <v/>
      </c>
    </row>
    <row r="426" spans="2:53">
      <c r="B426" s="1" t="s">
        <v>424</v>
      </c>
      <c r="AY426" s="4" t="str">
        <f t="shared" si="257"/>
        <v/>
      </c>
      <c r="AZ426" s="4" t="str">
        <f t="shared" si="258"/>
        <v/>
      </c>
      <c r="BA426" s="4" t="str">
        <f t="shared" si="259"/>
        <v/>
      </c>
    </row>
    <row r="427" spans="2:53">
      <c r="B427" s="1" t="s">
        <v>425</v>
      </c>
      <c r="AY427" s="4" t="str">
        <f t="shared" si="257"/>
        <v/>
      </c>
      <c r="AZ427" s="4" t="str">
        <f t="shared" si="258"/>
        <v/>
      </c>
      <c r="BA427" s="4" t="str">
        <f t="shared" si="259"/>
        <v/>
      </c>
    </row>
    <row r="428" spans="2:53">
      <c r="B428" s="1" t="s">
        <v>426</v>
      </c>
      <c r="AY428" s="4" t="str">
        <f t="shared" si="257"/>
        <v/>
      </c>
      <c r="AZ428" s="4" t="str">
        <f t="shared" si="258"/>
        <v/>
      </c>
      <c r="BA428" s="4" t="str">
        <f t="shared" si="259"/>
        <v/>
      </c>
    </row>
    <row r="429" spans="2:53">
      <c r="B429" s="1" t="s">
        <v>427</v>
      </c>
      <c r="AY429" s="4" t="str">
        <f t="shared" si="257"/>
        <v/>
      </c>
      <c r="AZ429" s="4" t="str">
        <f t="shared" si="258"/>
        <v/>
      </c>
      <c r="BA429" s="4" t="str">
        <f t="shared" si="259"/>
        <v/>
      </c>
    </row>
    <row r="430" spans="2:53">
      <c r="B430" s="1" t="s">
        <v>428</v>
      </c>
      <c r="AY430" s="4" t="str">
        <f t="shared" si="257"/>
        <v/>
      </c>
      <c r="AZ430" s="4" t="str">
        <f t="shared" si="258"/>
        <v/>
      </c>
      <c r="BA430" s="4" t="str">
        <f t="shared" si="259"/>
        <v/>
      </c>
    </row>
    <row r="431" spans="2:53">
      <c r="B431" s="1" t="s">
        <v>429</v>
      </c>
      <c r="AY431" s="4" t="str">
        <f t="shared" si="257"/>
        <v/>
      </c>
      <c r="AZ431" s="4" t="str">
        <f t="shared" si="258"/>
        <v/>
      </c>
      <c r="BA431" s="4" t="str">
        <f t="shared" si="259"/>
        <v/>
      </c>
    </row>
    <row r="432" spans="2:53">
      <c r="B432" s="1" t="s">
        <v>430</v>
      </c>
      <c r="AY432" s="4" t="str">
        <f t="shared" si="257"/>
        <v/>
      </c>
      <c r="AZ432" s="4" t="str">
        <f t="shared" si="258"/>
        <v/>
      </c>
      <c r="BA432" s="4" t="str">
        <f t="shared" si="259"/>
        <v/>
      </c>
    </row>
    <row r="433" spans="2:53">
      <c r="B433" s="1" t="s">
        <v>431</v>
      </c>
      <c r="AY433" s="4" t="str">
        <f t="shared" si="257"/>
        <v/>
      </c>
      <c r="AZ433" s="4" t="str">
        <f t="shared" si="258"/>
        <v/>
      </c>
      <c r="BA433" s="4" t="str">
        <f t="shared" si="259"/>
        <v/>
      </c>
    </row>
    <row r="434" spans="2:53">
      <c r="B434" s="1" t="s">
        <v>432</v>
      </c>
      <c r="AY434" s="4" t="str">
        <f t="shared" si="257"/>
        <v/>
      </c>
      <c r="AZ434" s="4" t="str">
        <f t="shared" si="258"/>
        <v/>
      </c>
      <c r="BA434" s="4" t="str">
        <f t="shared" si="259"/>
        <v/>
      </c>
    </row>
    <row r="435" spans="2:53">
      <c r="B435" s="1" t="s">
        <v>433</v>
      </c>
      <c r="AY435" s="4" t="str">
        <f t="shared" si="257"/>
        <v/>
      </c>
      <c r="AZ435" s="4" t="str">
        <f t="shared" si="258"/>
        <v/>
      </c>
      <c r="BA435" s="4" t="str">
        <f t="shared" si="259"/>
        <v/>
      </c>
    </row>
    <row r="436" spans="2:53">
      <c r="B436" s="1" t="s">
        <v>434</v>
      </c>
      <c r="AY436" s="4" t="str">
        <f t="shared" si="257"/>
        <v/>
      </c>
      <c r="AZ436" s="4" t="str">
        <f t="shared" si="258"/>
        <v/>
      </c>
      <c r="BA436" s="4" t="str">
        <f t="shared" si="259"/>
        <v/>
      </c>
    </row>
    <row r="437" spans="2:53">
      <c r="B437" s="1" t="s">
        <v>435</v>
      </c>
      <c r="AY437" s="4" t="str">
        <f t="shared" si="257"/>
        <v/>
      </c>
      <c r="AZ437" s="4" t="str">
        <f t="shared" si="258"/>
        <v/>
      </c>
      <c r="BA437" s="4" t="str">
        <f t="shared" si="259"/>
        <v/>
      </c>
    </row>
    <row r="438" spans="2:53">
      <c r="B438" s="1" t="s">
        <v>436</v>
      </c>
      <c r="AY438" s="4" t="str">
        <f t="shared" si="257"/>
        <v/>
      </c>
      <c r="AZ438" s="4" t="str">
        <f t="shared" si="258"/>
        <v/>
      </c>
      <c r="BA438" s="4" t="str">
        <f t="shared" si="259"/>
        <v/>
      </c>
    </row>
    <row r="439" spans="2:53">
      <c r="B439" s="1" t="s">
        <v>437</v>
      </c>
      <c r="AY439" s="4" t="str">
        <f t="shared" si="257"/>
        <v/>
      </c>
      <c r="AZ439" s="4" t="str">
        <f t="shared" si="258"/>
        <v/>
      </c>
      <c r="BA439" s="4" t="str">
        <f t="shared" si="259"/>
        <v/>
      </c>
    </row>
    <row r="440" spans="2:53">
      <c r="B440" s="1" t="s">
        <v>438</v>
      </c>
      <c r="AY440" s="4" t="str">
        <f t="shared" si="257"/>
        <v/>
      </c>
      <c r="AZ440" s="4" t="str">
        <f t="shared" si="258"/>
        <v/>
      </c>
      <c r="BA440" s="4" t="str">
        <f t="shared" si="259"/>
        <v/>
      </c>
    </row>
    <row r="441" spans="2:53">
      <c r="B441" s="1" t="s">
        <v>439</v>
      </c>
      <c r="AY441" s="4" t="str">
        <f t="shared" si="257"/>
        <v/>
      </c>
      <c r="AZ441" s="4" t="str">
        <f t="shared" si="258"/>
        <v/>
      </c>
      <c r="BA441" s="4" t="str">
        <f t="shared" si="259"/>
        <v/>
      </c>
    </row>
    <row r="442" spans="2:53">
      <c r="B442" s="1"/>
      <c r="AY442" s="4" t="str">
        <f t="shared" si="257"/>
        <v/>
      </c>
      <c r="AZ442" s="4" t="str">
        <f t="shared" si="258"/>
        <v/>
      </c>
      <c r="BA442" s="4" t="str">
        <f t="shared" si="259"/>
        <v/>
      </c>
    </row>
    <row r="443" spans="2:53">
      <c r="B443" s="55" t="s">
        <v>440</v>
      </c>
      <c r="AY443" s="4" t="str">
        <f t="shared" si="257"/>
        <v/>
      </c>
      <c r="AZ443" s="4" t="str">
        <f t="shared" si="258"/>
        <v/>
      </c>
      <c r="BA443" s="4" t="str">
        <f t="shared" si="259"/>
        <v/>
      </c>
    </row>
    <row r="444" spans="2:53">
      <c r="AY444" s="4" t="str">
        <f t="shared" si="257"/>
        <v/>
      </c>
      <c r="AZ444" s="4" t="str">
        <f t="shared" si="258"/>
        <v/>
      </c>
      <c r="BA444" s="4" t="str">
        <f t="shared" si="259"/>
        <v/>
      </c>
    </row>
    <row r="445" spans="2:53">
      <c r="AY445" s="4" t="str">
        <f t="shared" si="257"/>
        <v/>
      </c>
      <c r="AZ445" s="4" t="str">
        <f t="shared" si="258"/>
        <v/>
      </c>
      <c r="BA445" s="4" t="str">
        <f t="shared" si="259"/>
        <v/>
      </c>
    </row>
    <row r="446" spans="2:53">
      <c r="AY446" s="4" t="str">
        <f t="shared" si="257"/>
        <v/>
      </c>
      <c r="AZ446" s="4" t="str">
        <f t="shared" si="258"/>
        <v/>
      </c>
      <c r="BA446" s="4" t="str">
        <f t="shared" si="259"/>
        <v/>
      </c>
    </row>
    <row r="447" spans="2:53">
      <c r="AY447" s="4" t="str">
        <f t="shared" si="257"/>
        <v/>
      </c>
      <c r="AZ447" s="4" t="str">
        <f t="shared" si="258"/>
        <v/>
      </c>
      <c r="BA447" s="4" t="str">
        <f t="shared" si="259"/>
        <v/>
      </c>
    </row>
    <row r="448" spans="2:53">
      <c r="AY448" s="4" t="str">
        <f t="shared" si="257"/>
        <v/>
      </c>
      <c r="AZ448" s="4" t="str">
        <f t="shared" si="258"/>
        <v/>
      </c>
      <c r="BA448" s="4" t="str">
        <f t="shared" si="259"/>
        <v/>
      </c>
    </row>
    <row r="449" spans="51:53">
      <c r="AY449" s="4" t="str">
        <f t="shared" si="257"/>
        <v/>
      </c>
      <c r="AZ449" s="4" t="str">
        <f t="shared" si="258"/>
        <v/>
      </c>
      <c r="BA449" s="4" t="str">
        <f t="shared" si="259"/>
        <v/>
      </c>
    </row>
    <row r="450" spans="51:53">
      <c r="AY450" s="4" t="str">
        <f t="shared" si="257"/>
        <v/>
      </c>
      <c r="AZ450" s="4" t="str">
        <f t="shared" si="258"/>
        <v/>
      </c>
      <c r="BA450" s="4" t="str">
        <f t="shared" si="259"/>
        <v/>
      </c>
    </row>
    <row r="451" spans="51:53">
      <c r="AY451" s="4" t="str">
        <f t="shared" si="257"/>
        <v/>
      </c>
      <c r="AZ451" s="4" t="str">
        <f t="shared" si="258"/>
        <v/>
      </c>
      <c r="BA451" s="4" t="str">
        <f t="shared" si="259"/>
        <v/>
      </c>
    </row>
    <row r="452" spans="51:53">
      <c r="AY452" s="4" t="str">
        <f t="shared" si="257"/>
        <v/>
      </c>
      <c r="AZ452" s="4" t="str">
        <f t="shared" si="258"/>
        <v/>
      </c>
      <c r="BA452" s="4" t="str">
        <f t="shared" si="259"/>
        <v/>
      </c>
    </row>
    <row r="453" spans="51:53">
      <c r="AY453" s="4" t="str">
        <f t="shared" si="257"/>
        <v/>
      </c>
      <c r="AZ453" s="4" t="str">
        <f t="shared" si="258"/>
        <v/>
      </c>
      <c r="BA453" s="4" t="str">
        <f t="shared" si="259"/>
        <v/>
      </c>
    </row>
    <row r="454" spans="51:53">
      <c r="AY454" s="4" t="str">
        <f t="shared" si="257"/>
        <v/>
      </c>
      <c r="AZ454" s="4" t="str">
        <f t="shared" si="258"/>
        <v/>
      </c>
      <c r="BA454" s="4" t="str">
        <f t="shared" si="259"/>
        <v/>
      </c>
    </row>
    <row r="455" spans="51:53">
      <c r="AY455" s="4" t="str">
        <f t="shared" si="257"/>
        <v/>
      </c>
      <c r="AZ455" s="4" t="str">
        <f t="shared" si="258"/>
        <v/>
      </c>
      <c r="BA455" s="4" t="str">
        <f t="shared" si="259"/>
        <v/>
      </c>
    </row>
    <row r="456" spans="51:53">
      <c r="AY456" s="4" t="str">
        <f t="shared" si="257"/>
        <v/>
      </c>
      <c r="AZ456" s="4" t="str">
        <f t="shared" si="258"/>
        <v/>
      </c>
      <c r="BA456" s="4" t="str">
        <f t="shared" si="259"/>
        <v/>
      </c>
    </row>
    <row r="457" spans="51:53">
      <c r="AY457" s="4" t="str">
        <f t="shared" si="257"/>
        <v/>
      </c>
      <c r="AZ457" s="4" t="str">
        <f t="shared" si="258"/>
        <v/>
      </c>
      <c r="BA457" s="4" t="str">
        <f t="shared" si="259"/>
        <v/>
      </c>
    </row>
    <row r="458" spans="51:53">
      <c r="AY458" s="4" t="str">
        <f t="shared" si="257"/>
        <v/>
      </c>
      <c r="AZ458" s="4" t="str">
        <f t="shared" si="258"/>
        <v/>
      </c>
      <c r="BA458" s="4" t="str">
        <f t="shared" si="259"/>
        <v/>
      </c>
    </row>
    <row r="459" spans="51:53">
      <c r="AY459" s="4" t="str">
        <f t="shared" si="257"/>
        <v/>
      </c>
      <c r="AZ459" s="4" t="str">
        <f t="shared" si="258"/>
        <v/>
      </c>
      <c r="BA459" s="4" t="str">
        <f t="shared" si="259"/>
        <v/>
      </c>
    </row>
    <row r="460" spans="51:53">
      <c r="AY460" s="4" t="str">
        <f t="shared" si="257"/>
        <v/>
      </c>
      <c r="AZ460" s="4" t="str">
        <f t="shared" si="258"/>
        <v/>
      </c>
      <c r="BA460" s="4" t="str">
        <f t="shared" si="259"/>
        <v/>
      </c>
    </row>
    <row r="461" spans="51:53">
      <c r="AY461" s="4" t="str">
        <f t="shared" si="257"/>
        <v/>
      </c>
      <c r="AZ461" s="4" t="str">
        <f t="shared" si="258"/>
        <v/>
      </c>
      <c r="BA461" s="4" t="str">
        <f t="shared" si="259"/>
        <v/>
      </c>
    </row>
    <row r="462" spans="51:53">
      <c r="AY462" s="4" t="str">
        <f t="shared" si="257"/>
        <v/>
      </c>
      <c r="AZ462" s="4" t="str">
        <f t="shared" si="258"/>
        <v/>
      </c>
      <c r="BA462" s="4" t="str">
        <f t="shared" si="259"/>
        <v/>
      </c>
    </row>
    <row r="463" spans="51:53">
      <c r="AY463" s="4" t="str">
        <f t="shared" si="257"/>
        <v/>
      </c>
      <c r="AZ463" s="4" t="str">
        <f t="shared" si="258"/>
        <v/>
      </c>
      <c r="BA463" s="4" t="str">
        <f t="shared" si="259"/>
        <v/>
      </c>
    </row>
    <row r="464" spans="51:53">
      <c r="AY464" s="4" t="str">
        <f t="shared" si="257"/>
        <v/>
      </c>
      <c r="AZ464" s="4" t="str">
        <f t="shared" si="258"/>
        <v/>
      </c>
      <c r="BA464" s="4" t="str">
        <f t="shared" si="259"/>
        <v/>
      </c>
    </row>
    <row r="465" spans="51:53">
      <c r="AY465" s="4" t="str">
        <f t="shared" si="257"/>
        <v/>
      </c>
      <c r="AZ465" s="4" t="str">
        <f t="shared" si="258"/>
        <v/>
      </c>
      <c r="BA465" s="4" t="str">
        <f t="shared" si="259"/>
        <v/>
      </c>
    </row>
    <row r="466" spans="51:53">
      <c r="AY466" s="4" t="str">
        <f t="shared" si="257"/>
        <v/>
      </c>
      <c r="AZ466" s="4" t="str">
        <f t="shared" si="258"/>
        <v/>
      </c>
      <c r="BA466" s="4" t="str">
        <f t="shared" si="259"/>
        <v/>
      </c>
    </row>
    <row r="467" spans="51:53">
      <c r="AY467" s="4" t="str">
        <f t="shared" si="257"/>
        <v/>
      </c>
      <c r="AZ467" s="4" t="str">
        <f t="shared" si="258"/>
        <v/>
      </c>
      <c r="BA467" s="4" t="str">
        <f t="shared" si="259"/>
        <v/>
      </c>
    </row>
    <row r="468" spans="51:53">
      <c r="AY468" s="4" t="str">
        <f t="shared" si="257"/>
        <v/>
      </c>
      <c r="AZ468" s="4" t="str">
        <f t="shared" si="258"/>
        <v/>
      </c>
      <c r="BA468" s="4" t="str">
        <f t="shared" si="259"/>
        <v/>
      </c>
    </row>
    <row r="469" spans="51:53">
      <c r="AY469" s="4" t="str">
        <f t="shared" si="257"/>
        <v/>
      </c>
      <c r="AZ469" s="4" t="str">
        <f t="shared" si="258"/>
        <v/>
      </c>
      <c r="BA469" s="4" t="str">
        <f t="shared" si="259"/>
        <v/>
      </c>
    </row>
    <row r="470" spans="51:53">
      <c r="AY470" s="4" t="str">
        <f t="shared" si="257"/>
        <v/>
      </c>
      <c r="AZ470" s="4" t="str">
        <f t="shared" si="258"/>
        <v/>
      </c>
      <c r="BA470" s="4" t="str">
        <f t="shared" si="259"/>
        <v/>
      </c>
    </row>
    <row r="471" spans="51:53">
      <c r="AY471" s="4" t="str">
        <f t="shared" si="257"/>
        <v/>
      </c>
      <c r="AZ471" s="4" t="str">
        <f t="shared" si="258"/>
        <v/>
      </c>
      <c r="BA471" s="4" t="str">
        <f t="shared" si="259"/>
        <v/>
      </c>
    </row>
    <row r="472" spans="51:53">
      <c r="AY472" s="4" t="str">
        <f t="shared" si="257"/>
        <v/>
      </c>
      <c r="AZ472" s="4" t="str">
        <f t="shared" si="258"/>
        <v/>
      </c>
      <c r="BA472" s="4" t="str">
        <f t="shared" si="259"/>
        <v/>
      </c>
    </row>
    <row r="473" spans="51:53">
      <c r="AY473" s="4" t="str">
        <f t="shared" si="257"/>
        <v/>
      </c>
      <c r="AZ473" s="4" t="str">
        <f t="shared" si="258"/>
        <v/>
      </c>
      <c r="BA473" s="4" t="str">
        <f t="shared" si="259"/>
        <v/>
      </c>
    </row>
    <row r="474" spans="51:53">
      <c r="AY474" s="4" t="str">
        <f t="shared" si="257"/>
        <v/>
      </c>
      <c r="AZ474" s="4" t="str">
        <f t="shared" si="258"/>
        <v/>
      </c>
      <c r="BA474" s="4" t="str">
        <f t="shared" si="259"/>
        <v/>
      </c>
    </row>
    <row r="475" spans="51:53">
      <c r="AY475" s="4" t="str">
        <f t="shared" si="257"/>
        <v/>
      </c>
      <c r="AZ475" s="4" t="str">
        <f t="shared" si="258"/>
        <v/>
      </c>
      <c r="BA475" s="4" t="str">
        <f t="shared" si="259"/>
        <v/>
      </c>
    </row>
    <row r="476" spans="51:53">
      <c r="AY476" s="4" t="str">
        <f t="shared" si="257"/>
        <v/>
      </c>
      <c r="AZ476" s="4" t="str">
        <f t="shared" si="258"/>
        <v/>
      </c>
      <c r="BA476" s="4" t="str">
        <f t="shared" si="259"/>
        <v/>
      </c>
    </row>
    <row r="477" spans="51:53">
      <c r="AY477" s="4" t="str">
        <f t="shared" si="257"/>
        <v/>
      </c>
      <c r="AZ477" s="4" t="str">
        <f t="shared" si="258"/>
        <v/>
      </c>
      <c r="BA477" s="4" t="str">
        <f t="shared" si="259"/>
        <v/>
      </c>
    </row>
    <row r="478" spans="51:53">
      <c r="AY478" s="4" t="str">
        <f t="shared" si="257"/>
        <v/>
      </c>
      <c r="AZ478" s="4" t="str">
        <f t="shared" si="258"/>
        <v/>
      </c>
      <c r="BA478" s="4" t="str">
        <f t="shared" si="259"/>
        <v/>
      </c>
    </row>
    <row r="479" spans="51:53">
      <c r="AY479" s="4" t="str">
        <f t="shared" si="257"/>
        <v/>
      </c>
      <c r="AZ479" s="4" t="str">
        <f t="shared" si="258"/>
        <v/>
      </c>
      <c r="BA479" s="4" t="str">
        <f t="shared" si="259"/>
        <v/>
      </c>
    </row>
    <row r="480" spans="51:53">
      <c r="AY480" s="4" t="str">
        <f t="shared" si="257"/>
        <v/>
      </c>
      <c r="AZ480" s="4" t="str">
        <f t="shared" si="258"/>
        <v/>
      </c>
      <c r="BA480" s="4" t="str">
        <f t="shared" si="259"/>
        <v/>
      </c>
    </row>
    <row r="481" spans="51:53">
      <c r="AY481" s="4" t="str">
        <f t="shared" si="257"/>
        <v/>
      </c>
      <c r="AZ481" s="4" t="str">
        <f t="shared" si="258"/>
        <v/>
      </c>
      <c r="BA481" s="4" t="str">
        <f t="shared" si="259"/>
        <v/>
      </c>
    </row>
    <row r="482" spans="51:53">
      <c r="AY482" s="4" t="str">
        <f t="shared" ref="AY482:AY545" si="260">IF(AA482&gt;0,IF(AA482&gt;9,(AA482-Z482)/Z482,"&lt;10 cases"),"")</f>
        <v/>
      </c>
      <c r="AZ482" s="4" t="str">
        <f t="shared" ref="AZ482:AZ545" si="261">IF(AA482&gt;0,IF(AA482&gt;9,(AA482-(SUM(V482:Z482)/5))/AA482,"&lt;10 cases"),"")</f>
        <v/>
      </c>
      <c r="BA482" s="4" t="str">
        <f t="shared" ref="BA482:BA545" si="262">IF(AA482&gt;0,IF(AA482&gt;9,(AA482-SUM(Q482:Z482)/10)/AA482,"&lt;10 cases"),"")</f>
        <v/>
      </c>
    </row>
    <row r="483" spans="51:53">
      <c r="AY483" s="4" t="str">
        <f t="shared" si="260"/>
        <v/>
      </c>
      <c r="AZ483" s="4" t="str">
        <f t="shared" si="261"/>
        <v/>
      </c>
      <c r="BA483" s="4" t="str">
        <f t="shared" si="262"/>
        <v/>
      </c>
    </row>
    <row r="484" spans="51:53">
      <c r="AY484" s="4" t="str">
        <f t="shared" si="260"/>
        <v/>
      </c>
      <c r="AZ484" s="4" t="str">
        <f t="shared" si="261"/>
        <v/>
      </c>
      <c r="BA484" s="4" t="str">
        <f t="shared" si="262"/>
        <v/>
      </c>
    </row>
    <row r="485" spans="51:53">
      <c r="AY485" s="4" t="str">
        <f t="shared" si="260"/>
        <v/>
      </c>
      <c r="AZ485" s="4" t="str">
        <f t="shared" si="261"/>
        <v/>
      </c>
      <c r="BA485" s="4" t="str">
        <f t="shared" si="262"/>
        <v/>
      </c>
    </row>
    <row r="486" spans="51:53">
      <c r="AY486" s="4" t="str">
        <f t="shared" si="260"/>
        <v/>
      </c>
      <c r="AZ486" s="4" t="str">
        <f t="shared" si="261"/>
        <v/>
      </c>
      <c r="BA486" s="4" t="str">
        <f t="shared" si="262"/>
        <v/>
      </c>
    </row>
    <row r="487" spans="51:53">
      <c r="AY487" s="4" t="str">
        <f t="shared" si="260"/>
        <v/>
      </c>
      <c r="AZ487" s="4" t="str">
        <f t="shared" si="261"/>
        <v/>
      </c>
      <c r="BA487" s="4" t="str">
        <f t="shared" si="262"/>
        <v/>
      </c>
    </row>
    <row r="488" spans="51:53">
      <c r="AY488" s="4" t="str">
        <f t="shared" si="260"/>
        <v/>
      </c>
      <c r="AZ488" s="4" t="str">
        <f t="shared" si="261"/>
        <v/>
      </c>
      <c r="BA488" s="4" t="str">
        <f t="shared" si="262"/>
        <v/>
      </c>
    </row>
    <row r="489" spans="51:53">
      <c r="AY489" s="4" t="str">
        <f t="shared" si="260"/>
        <v/>
      </c>
      <c r="AZ489" s="4" t="str">
        <f t="shared" si="261"/>
        <v/>
      </c>
      <c r="BA489" s="4" t="str">
        <f t="shared" si="262"/>
        <v/>
      </c>
    </row>
    <row r="490" spans="51:53">
      <c r="AY490" s="4" t="str">
        <f t="shared" si="260"/>
        <v/>
      </c>
      <c r="AZ490" s="4" t="str">
        <f t="shared" si="261"/>
        <v/>
      </c>
      <c r="BA490" s="4" t="str">
        <f t="shared" si="262"/>
        <v/>
      </c>
    </row>
    <row r="491" spans="51:53">
      <c r="AY491" s="4" t="str">
        <f t="shared" si="260"/>
        <v/>
      </c>
      <c r="AZ491" s="4" t="str">
        <f t="shared" si="261"/>
        <v/>
      </c>
      <c r="BA491" s="4" t="str">
        <f t="shared" si="262"/>
        <v/>
      </c>
    </row>
    <row r="492" spans="51:53">
      <c r="AY492" s="4" t="str">
        <f t="shared" si="260"/>
        <v/>
      </c>
      <c r="AZ492" s="4" t="str">
        <f t="shared" si="261"/>
        <v/>
      </c>
      <c r="BA492" s="4" t="str">
        <f t="shared" si="262"/>
        <v/>
      </c>
    </row>
    <row r="493" spans="51:53">
      <c r="AY493" s="4" t="str">
        <f t="shared" si="260"/>
        <v/>
      </c>
      <c r="AZ493" s="4" t="str">
        <f t="shared" si="261"/>
        <v/>
      </c>
      <c r="BA493" s="4" t="str">
        <f t="shared" si="262"/>
        <v/>
      </c>
    </row>
    <row r="494" spans="51:53">
      <c r="AY494" s="4" t="str">
        <f t="shared" si="260"/>
        <v/>
      </c>
      <c r="AZ494" s="4" t="str">
        <f t="shared" si="261"/>
        <v/>
      </c>
      <c r="BA494" s="4" t="str">
        <f t="shared" si="262"/>
        <v/>
      </c>
    </row>
    <row r="495" spans="51:53">
      <c r="AY495" s="4" t="str">
        <f t="shared" si="260"/>
        <v/>
      </c>
      <c r="AZ495" s="4" t="str">
        <f t="shared" si="261"/>
        <v/>
      </c>
      <c r="BA495" s="4" t="str">
        <f t="shared" si="262"/>
        <v/>
      </c>
    </row>
    <row r="496" spans="51:53">
      <c r="AY496" s="4" t="str">
        <f t="shared" si="260"/>
        <v/>
      </c>
      <c r="AZ496" s="4" t="str">
        <f t="shared" si="261"/>
        <v/>
      </c>
      <c r="BA496" s="4" t="str">
        <f t="shared" si="262"/>
        <v/>
      </c>
    </row>
    <row r="497" spans="51:53">
      <c r="AY497" s="4" t="str">
        <f t="shared" si="260"/>
        <v/>
      </c>
      <c r="AZ497" s="4" t="str">
        <f t="shared" si="261"/>
        <v/>
      </c>
      <c r="BA497" s="4" t="str">
        <f t="shared" si="262"/>
        <v/>
      </c>
    </row>
    <row r="498" spans="51:53">
      <c r="AY498" s="4" t="str">
        <f t="shared" si="260"/>
        <v/>
      </c>
      <c r="AZ498" s="4" t="str">
        <f t="shared" si="261"/>
        <v/>
      </c>
      <c r="BA498" s="4" t="str">
        <f t="shared" si="262"/>
        <v/>
      </c>
    </row>
    <row r="499" spans="51:53">
      <c r="AY499" s="4" t="str">
        <f t="shared" si="260"/>
        <v/>
      </c>
      <c r="AZ499" s="4" t="str">
        <f t="shared" si="261"/>
        <v/>
      </c>
      <c r="BA499" s="4" t="str">
        <f t="shared" si="262"/>
        <v/>
      </c>
    </row>
    <row r="500" spans="51:53">
      <c r="AY500" s="4" t="str">
        <f t="shared" si="260"/>
        <v/>
      </c>
      <c r="AZ500" s="4" t="str">
        <f t="shared" si="261"/>
        <v/>
      </c>
      <c r="BA500" s="4" t="str">
        <f t="shared" si="262"/>
        <v/>
      </c>
    </row>
    <row r="501" spans="51:53">
      <c r="AY501" s="4" t="str">
        <f t="shared" si="260"/>
        <v/>
      </c>
      <c r="AZ501" s="4" t="str">
        <f t="shared" si="261"/>
        <v/>
      </c>
      <c r="BA501" s="4" t="str">
        <f t="shared" si="262"/>
        <v/>
      </c>
    </row>
    <row r="502" spans="51:53">
      <c r="AY502" s="4" t="str">
        <f t="shared" si="260"/>
        <v/>
      </c>
      <c r="AZ502" s="4" t="str">
        <f t="shared" si="261"/>
        <v/>
      </c>
      <c r="BA502" s="4" t="str">
        <f t="shared" si="262"/>
        <v/>
      </c>
    </row>
    <row r="503" spans="51:53">
      <c r="AY503" s="4" t="str">
        <f t="shared" si="260"/>
        <v/>
      </c>
      <c r="AZ503" s="4" t="str">
        <f t="shared" si="261"/>
        <v/>
      </c>
      <c r="BA503" s="4" t="str">
        <f t="shared" si="262"/>
        <v/>
      </c>
    </row>
    <row r="504" spans="51:53">
      <c r="AY504" s="4" t="str">
        <f t="shared" si="260"/>
        <v/>
      </c>
      <c r="AZ504" s="4" t="str">
        <f t="shared" si="261"/>
        <v/>
      </c>
      <c r="BA504" s="4" t="str">
        <f t="shared" si="262"/>
        <v/>
      </c>
    </row>
    <row r="505" spans="51:53">
      <c r="AY505" s="4" t="str">
        <f t="shared" si="260"/>
        <v/>
      </c>
      <c r="AZ505" s="4" t="str">
        <f t="shared" si="261"/>
        <v/>
      </c>
      <c r="BA505" s="4" t="str">
        <f t="shared" si="262"/>
        <v/>
      </c>
    </row>
    <row r="506" spans="51:53">
      <c r="AY506" s="4" t="str">
        <f t="shared" si="260"/>
        <v/>
      </c>
      <c r="AZ506" s="4" t="str">
        <f t="shared" si="261"/>
        <v/>
      </c>
      <c r="BA506" s="4" t="str">
        <f t="shared" si="262"/>
        <v/>
      </c>
    </row>
    <row r="507" spans="51:53">
      <c r="AY507" s="4" t="str">
        <f t="shared" si="260"/>
        <v/>
      </c>
      <c r="AZ507" s="4" t="str">
        <f t="shared" si="261"/>
        <v/>
      </c>
      <c r="BA507" s="4" t="str">
        <f t="shared" si="262"/>
        <v/>
      </c>
    </row>
    <row r="508" spans="51:53">
      <c r="AY508" s="4" t="str">
        <f t="shared" si="260"/>
        <v/>
      </c>
      <c r="AZ508" s="4" t="str">
        <f t="shared" si="261"/>
        <v/>
      </c>
      <c r="BA508" s="4" t="str">
        <f t="shared" si="262"/>
        <v/>
      </c>
    </row>
    <row r="509" spans="51:53">
      <c r="AY509" s="4" t="str">
        <f t="shared" si="260"/>
        <v/>
      </c>
      <c r="AZ509" s="4" t="str">
        <f t="shared" si="261"/>
        <v/>
      </c>
      <c r="BA509" s="4" t="str">
        <f t="shared" si="262"/>
        <v/>
      </c>
    </row>
    <row r="510" spans="51:53">
      <c r="AY510" s="4" t="str">
        <f t="shared" si="260"/>
        <v/>
      </c>
      <c r="AZ510" s="4" t="str">
        <f t="shared" si="261"/>
        <v/>
      </c>
      <c r="BA510" s="4" t="str">
        <f t="shared" si="262"/>
        <v/>
      </c>
    </row>
    <row r="511" spans="51:53">
      <c r="AY511" s="4" t="str">
        <f t="shared" si="260"/>
        <v/>
      </c>
      <c r="AZ511" s="4" t="str">
        <f t="shared" si="261"/>
        <v/>
      </c>
      <c r="BA511" s="4" t="str">
        <f t="shared" si="262"/>
        <v/>
      </c>
    </row>
    <row r="512" spans="51:53">
      <c r="AY512" s="4" t="str">
        <f t="shared" si="260"/>
        <v/>
      </c>
      <c r="AZ512" s="4" t="str">
        <f t="shared" si="261"/>
        <v/>
      </c>
      <c r="BA512" s="4" t="str">
        <f t="shared" si="262"/>
        <v/>
      </c>
    </row>
    <row r="513" spans="51:53">
      <c r="AY513" s="4" t="str">
        <f t="shared" si="260"/>
        <v/>
      </c>
      <c r="AZ513" s="4" t="str">
        <f t="shared" si="261"/>
        <v/>
      </c>
      <c r="BA513" s="4" t="str">
        <f t="shared" si="262"/>
        <v/>
      </c>
    </row>
    <row r="514" spans="51:53">
      <c r="AY514" s="4" t="str">
        <f t="shared" si="260"/>
        <v/>
      </c>
      <c r="AZ514" s="4" t="str">
        <f t="shared" si="261"/>
        <v/>
      </c>
      <c r="BA514" s="4" t="str">
        <f t="shared" si="262"/>
        <v/>
      </c>
    </row>
    <row r="515" spans="51:53">
      <c r="AY515" s="4" t="str">
        <f t="shared" si="260"/>
        <v/>
      </c>
      <c r="AZ515" s="4" t="str">
        <f t="shared" si="261"/>
        <v/>
      </c>
      <c r="BA515" s="4" t="str">
        <f t="shared" si="262"/>
        <v/>
      </c>
    </row>
    <row r="516" spans="51:53">
      <c r="AY516" s="4" t="str">
        <f t="shared" si="260"/>
        <v/>
      </c>
      <c r="AZ516" s="4" t="str">
        <f t="shared" si="261"/>
        <v/>
      </c>
      <c r="BA516" s="4" t="str">
        <f t="shared" si="262"/>
        <v/>
      </c>
    </row>
    <row r="517" spans="51:53">
      <c r="AY517" s="4" t="str">
        <f t="shared" si="260"/>
        <v/>
      </c>
      <c r="AZ517" s="4" t="str">
        <f t="shared" si="261"/>
        <v/>
      </c>
      <c r="BA517" s="4" t="str">
        <f t="shared" si="262"/>
        <v/>
      </c>
    </row>
    <row r="518" spans="51:53">
      <c r="AY518" s="4" t="str">
        <f t="shared" si="260"/>
        <v/>
      </c>
      <c r="AZ518" s="4" t="str">
        <f t="shared" si="261"/>
        <v/>
      </c>
      <c r="BA518" s="4" t="str">
        <f t="shared" si="262"/>
        <v/>
      </c>
    </row>
    <row r="519" spans="51:53">
      <c r="AY519" s="4" t="str">
        <f t="shared" si="260"/>
        <v/>
      </c>
      <c r="AZ519" s="4" t="str">
        <f t="shared" si="261"/>
        <v/>
      </c>
      <c r="BA519" s="4" t="str">
        <f t="shared" si="262"/>
        <v/>
      </c>
    </row>
    <row r="520" spans="51:53">
      <c r="AY520" s="4" t="str">
        <f t="shared" si="260"/>
        <v/>
      </c>
      <c r="AZ520" s="4" t="str">
        <f t="shared" si="261"/>
        <v/>
      </c>
      <c r="BA520" s="4" t="str">
        <f t="shared" si="262"/>
        <v/>
      </c>
    </row>
    <row r="521" spans="51:53">
      <c r="AY521" s="4" t="str">
        <f t="shared" si="260"/>
        <v/>
      </c>
      <c r="AZ521" s="4" t="str">
        <f t="shared" si="261"/>
        <v/>
      </c>
      <c r="BA521" s="4" t="str">
        <f t="shared" si="262"/>
        <v/>
      </c>
    </row>
    <row r="522" spans="51:53">
      <c r="AY522" s="4" t="str">
        <f t="shared" si="260"/>
        <v/>
      </c>
      <c r="AZ522" s="4" t="str">
        <f t="shared" si="261"/>
        <v/>
      </c>
      <c r="BA522" s="4" t="str">
        <f t="shared" si="262"/>
        <v/>
      </c>
    </row>
    <row r="523" spans="51:53">
      <c r="AY523" s="4" t="str">
        <f t="shared" si="260"/>
        <v/>
      </c>
      <c r="AZ523" s="4" t="str">
        <f t="shared" si="261"/>
        <v/>
      </c>
      <c r="BA523" s="4" t="str">
        <f t="shared" si="262"/>
        <v/>
      </c>
    </row>
    <row r="524" spans="51:53">
      <c r="AY524" s="4" t="str">
        <f t="shared" si="260"/>
        <v/>
      </c>
      <c r="AZ524" s="4" t="str">
        <f t="shared" si="261"/>
        <v/>
      </c>
      <c r="BA524" s="4" t="str">
        <f t="shared" si="262"/>
        <v/>
      </c>
    </row>
    <row r="525" spans="51:53">
      <c r="AY525" s="4" t="str">
        <f t="shared" si="260"/>
        <v/>
      </c>
      <c r="AZ525" s="4" t="str">
        <f t="shared" si="261"/>
        <v/>
      </c>
      <c r="BA525" s="4" t="str">
        <f t="shared" si="262"/>
        <v/>
      </c>
    </row>
    <row r="526" spans="51:53">
      <c r="AY526" s="4" t="str">
        <f t="shared" si="260"/>
        <v/>
      </c>
      <c r="AZ526" s="4" t="str">
        <f t="shared" si="261"/>
        <v/>
      </c>
      <c r="BA526" s="4" t="str">
        <f t="shared" si="262"/>
        <v/>
      </c>
    </row>
    <row r="527" spans="51:53">
      <c r="AY527" s="4" t="str">
        <f t="shared" si="260"/>
        <v/>
      </c>
      <c r="AZ527" s="4" t="str">
        <f t="shared" si="261"/>
        <v/>
      </c>
      <c r="BA527" s="4" t="str">
        <f t="shared" si="262"/>
        <v/>
      </c>
    </row>
    <row r="528" spans="51:53">
      <c r="AY528" s="4" t="str">
        <f t="shared" si="260"/>
        <v/>
      </c>
      <c r="AZ528" s="4" t="str">
        <f t="shared" si="261"/>
        <v/>
      </c>
      <c r="BA528" s="4" t="str">
        <f t="shared" si="262"/>
        <v/>
      </c>
    </row>
    <row r="529" spans="51:53">
      <c r="AY529" s="4" t="str">
        <f t="shared" si="260"/>
        <v/>
      </c>
      <c r="AZ529" s="4" t="str">
        <f t="shared" si="261"/>
        <v/>
      </c>
      <c r="BA529" s="4" t="str">
        <f t="shared" si="262"/>
        <v/>
      </c>
    </row>
    <row r="530" spans="51:53">
      <c r="AY530" s="4" t="str">
        <f t="shared" si="260"/>
        <v/>
      </c>
      <c r="AZ530" s="4" t="str">
        <f t="shared" si="261"/>
        <v/>
      </c>
      <c r="BA530" s="4" t="str">
        <f t="shared" si="262"/>
        <v/>
      </c>
    </row>
    <row r="531" spans="51:53">
      <c r="AY531" s="4" t="str">
        <f t="shared" si="260"/>
        <v/>
      </c>
      <c r="AZ531" s="4" t="str">
        <f t="shared" si="261"/>
        <v/>
      </c>
      <c r="BA531" s="4" t="str">
        <f t="shared" si="262"/>
        <v/>
      </c>
    </row>
    <row r="532" spans="51:53">
      <c r="AY532" s="4" t="str">
        <f t="shared" si="260"/>
        <v/>
      </c>
      <c r="AZ532" s="4" t="str">
        <f t="shared" si="261"/>
        <v/>
      </c>
      <c r="BA532" s="4" t="str">
        <f t="shared" si="262"/>
        <v/>
      </c>
    </row>
    <row r="533" spans="51:53">
      <c r="AY533" s="4" t="str">
        <f t="shared" si="260"/>
        <v/>
      </c>
      <c r="AZ533" s="4" t="str">
        <f t="shared" si="261"/>
        <v/>
      </c>
      <c r="BA533" s="4" t="str">
        <f t="shared" si="262"/>
        <v/>
      </c>
    </row>
    <row r="534" spans="51:53">
      <c r="AY534" s="4" t="str">
        <f t="shared" si="260"/>
        <v/>
      </c>
      <c r="AZ534" s="4" t="str">
        <f t="shared" si="261"/>
        <v/>
      </c>
      <c r="BA534" s="4" t="str">
        <f t="shared" si="262"/>
        <v/>
      </c>
    </row>
    <row r="535" spans="51:53">
      <c r="AY535" s="4" t="str">
        <f t="shared" si="260"/>
        <v/>
      </c>
      <c r="AZ535" s="4" t="str">
        <f t="shared" si="261"/>
        <v/>
      </c>
      <c r="BA535" s="4" t="str">
        <f t="shared" si="262"/>
        <v/>
      </c>
    </row>
    <row r="536" spans="51:53">
      <c r="AY536" s="4" t="str">
        <f t="shared" si="260"/>
        <v/>
      </c>
      <c r="AZ536" s="4" t="str">
        <f t="shared" si="261"/>
        <v/>
      </c>
      <c r="BA536" s="4" t="str">
        <f t="shared" si="262"/>
        <v/>
      </c>
    </row>
    <row r="537" spans="51:53">
      <c r="AY537" s="4" t="str">
        <f t="shared" si="260"/>
        <v/>
      </c>
      <c r="AZ537" s="4" t="str">
        <f t="shared" si="261"/>
        <v/>
      </c>
      <c r="BA537" s="4" t="str">
        <f t="shared" si="262"/>
        <v/>
      </c>
    </row>
    <row r="538" spans="51:53">
      <c r="AY538" s="4" t="str">
        <f t="shared" si="260"/>
        <v/>
      </c>
      <c r="AZ538" s="4" t="str">
        <f t="shared" si="261"/>
        <v/>
      </c>
      <c r="BA538" s="4" t="str">
        <f t="shared" si="262"/>
        <v/>
      </c>
    </row>
    <row r="539" spans="51:53">
      <c r="AY539" s="4" t="str">
        <f t="shared" si="260"/>
        <v/>
      </c>
      <c r="AZ539" s="4" t="str">
        <f t="shared" si="261"/>
        <v/>
      </c>
      <c r="BA539" s="4" t="str">
        <f t="shared" si="262"/>
        <v/>
      </c>
    </row>
    <row r="540" spans="51:53">
      <c r="AY540" s="4" t="str">
        <f t="shared" si="260"/>
        <v/>
      </c>
      <c r="AZ540" s="4" t="str">
        <f t="shared" si="261"/>
        <v/>
      </c>
      <c r="BA540" s="4" t="str">
        <f t="shared" si="262"/>
        <v/>
      </c>
    </row>
    <row r="541" spans="51:53">
      <c r="AY541" s="4" t="str">
        <f t="shared" si="260"/>
        <v/>
      </c>
      <c r="AZ541" s="4" t="str">
        <f t="shared" si="261"/>
        <v/>
      </c>
      <c r="BA541" s="4" t="str">
        <f t="shared" si="262"/>
        <v/>
      </c>
    </row>
    <row r="542" spans="51:53">
      <c r="AY542" s="4" t="str">
        <f t="shared" si="260"/>
        <v/>
      </c>
      <c r="AZ542" s="4" t="str">
        <f t="shared" si="261"/>
        <v/>
      </c>
      <c r="BA542" s="4" t="str">
        <f t="shared" si="262"/>
        <v/>
      </c>
    </row>
    <row r="543" spans="51:53">
      <c r="AY543" s="4" t="str">
        <f t="shared" si="260"/>
        <v/>
      </c>
      <c r="AZ543" s="4" t="str">
        <f t="shared" si="261"/>
        <v/>
      </c>
      <c r="BA543" s="4" t="str">
        <f t="shared" si="262"/>
        <v/>
      </c>
    </row>
    <row r="544" spans="51:53">
      <c r="AY544" s="4" t="str">
        <f t="shared" si="260"/>
        <v/>
      </c>
      <c r="AZ544" s="4" t="str">
        <f t="shared" si="261"/>
        <v/>
      </c>
      <c r="BA544" s="4" t="str">
        <f t="shared" si="262"/>
        <v/>
      </c>
    </row>
    <row r="545" spans="51:53">
      <c r="AY545" s="4" t="str">
        <f t="shared" si="260"/>
        <v/>
      </c>
      <c r="AZ545" s="4" t="str">
        <f t="shared" si="261"/>
        <v/>
      </c>
      <c r="BA545" s="4" t="str">
        <f t="shared" si="262"/>
        <v/>
      </c>
    </row>
    <row r="546" spans="51:53">
      <c r="AY546" s="4" t="str">
        <f t="shared" ref="AY546:AY609" si="263">IF(AA546&gt;0,IF(AA546&gt;9,(AA546-Z546)/Z546,"&lt;10 cases"),"")</f>
        <v/>
      </c>
      <c r="AZ546" s="4" t="str">
        <f t="shared" ref="AZ546:AZ609" si="264">IF(AA546&gt;0,IF(AA546&gt;9,(AA546-(SUM(V546:Z546)/5))/AA546,"&lt;10 cases"),"")</f>
        <v/>
      </c>
      <c r="BA546" s="4" t="str">
        <f t="shared" ref="BA546:BA609" si="265">IF(AA546&gt;0,IF(AA546&gt;9,(AA546-SUM(Q546:Z546)/10)/AA546,"&lt;10 cases"),"")</f>
        <v/>
      </c>
    </row>
    <row r="547" spans="51:53">
      <c r="AY547" s="4" t="str">
        <f t="shared" si="263"/>
        <v/>
      </c>
      <c r="AZ547" s="4" t="str">
        <f t="shared" si="264"/>
        <v/>
      </c>
      <c r="BA547" s="4" t="str">
        <f t="shared" si="265"/>
        <v/>
      </c>
    </row>
    <row r="548" spans="51:53">
      <c r="AY548" s="4" t="str">
        <f t="shared" si="263"/>
        <v/>
      </c>
      <c r="AZ548" s="4" t="str">
        <f t="shared" si="264"/>
        <v/>
      </c>
      <c r="BA548" s="4" t="str">
        <f t="shared" si="265"/>
        <v/>
      </c>
    </row>
    <row r="549" spans="51:53">
      <c r="AY549" s="4" t="str">
        <f t="shared" si="263"/>
        <v/>
      </c>
      <c r="AZ549" s="4" t="str">
        <f t="shared" si="264"/>
        <v/>
      </c>
      <c r="BA549" s="4" t="str">
        <f t="shared" si="265"/>
        <v/>
      </c>
    </row>
    <row r="550" spans="51:53">
      <c r="AY550" s="4" t="str">
        <f t="shared" si="263"/>
        <v/>
      </c>
      <c r="AZ550" s="4" t="str">
        <f t="shared" si="264"/>
        <v/>
      </c>
      <c r="BA550" s="4" t="str">
        <f t="shared" si="265"/>
        <v/>
      </c>
    </row>
    <row r="551" spans="51:53">
      <c r="AY551" s="4" t="str">
        <f t="shared" si="263"/>
        <v/>
      </c>
      <c r="AZ551" s="4" t="str">
        <f t="shared" si="264"/>
        <v/>
      </c>
      <c r="BA551" s="4" t="str">
        <f t="shared" si="265"/>
        <v/>
      </c>
    </row>
    <row r="552" spans="51:53">
      <c r="AY552" s="4" t="str">
        <f t="shared" si="263"/>
        <v/>
      </c>
      <c r="AZ552" s="4" t="str">
        <f t="shared" si="264"/>
        <v/>
      </c>
      <c r="BA552" s="4" t="str">
        <f t="shared" si="265"/>
        <v/>
      </c>
    </row>
    <row r="553" spans="51:53">
      <c r="AY553" s="4" t="str">
        <f t="shared" si="263"/>
        <v/>
      </c>
      <c r="AZ553" s="4" t="str">
        <f t="shared" si="264"/>
        <v/>
      </c>
      <c r="BA553" s="4" t="str">
        <f t="shared" si="265"/>
        <v/>
      </c>
    </row>
    <row r="554" spans="51:53">
      <c r="AY554" s="4" t="str">
        <f t="shared" si="263"/>
        <v/>
      </c>
      <c r="AZ554" s="4" t="str">
        <f t="shared" si="264"/>
        <v/>
      </c>
      <c r="BA554" s="4" t="str">
        <f t="shared" si="265"/>
        <v/>
      </c>
    </row>
    <row r="555" spans="51:53">
      <c r="AY555" s="4" t="str">
        <f t="shared" si="263"/>
        <v/>
      </c>
      <c r="AZ555" s="4" t="str">
        <f t="shared" si="264"/>
        <v/>
      </c>
      <c r="BA555" s="4" t="str">
        <f t="shared" si="265"/>
        <v/>
      </c>
    </row>
    <row r="556" spans="51:53">
      <c r="AY556" s="4" t="str">
        <f t="shared" si="263"/>
        <v/>
      </c>
      <c r="AZ556" s="4" t="str">
        <f t="shared" si="264"/>
        <v/>
      </c>
      <c r="BA556" s="4" t="str">
        <f t="shared" si="265"/>
        <v/>
      </c>
    </row>
    <row r="557" spans="51:53">
      <c r="AY557" s="4" t="str">
        <f t="shared" si="263"/>
        <v/>
      </c>
      <c r="AZ557" s="4" t="str">
        <f t="shared" si="264"/>
        <v/>
      </c>
      <c r="BA557" s="4" t="str">
        <f t="shared" si="265"/>
        <v/>
      </c>
    </row>
    <row r="558" spans="51:53">
      <c r="AY558" s="4" t="str">
        <f t="shared" si="263"/>
        <v/>
      </c>
      <c r="AZ558" s="4" t="str">
        <f t="shared" si="264"/>
        <v/>
      </c>
      <c r="BA558" s="4" t="str">
        <f t="shared" si="265"/>
        <v/>
      </c>
    </row>
    <row r="559" spans="51:53">
      <c r="AY559" s="4" t="str">
        <f t="shared" si="263"/>
        <v/>
      </c>
      <c r="AZ559" s="4" t="str">
        <f t="shared" si="264"/>
        <v/>
      </c>
      <c r="BA559" s="4" t="str">
        <f t="shared" si="265"/>
        <v/>
      </c>
    </row>
    <row r="560" spans="51:53">
      <c r="AY560" s="4" t="str">
        <f t="shared" si="263"/>
        <v/>
      </c>
      <c r="AZ560" s="4" t="str">
        <f t="shared" si="264"/>
        <v/>
      </c>
      <c r="BA560" s="4" t="str">
        <f t="shared" si="265"/>
        <v/>
      </c>
    </row>
    <row r="561" spans="51:53">
      <c r="AY561" s="4" t="str">
        <f t="shared" si="263"/>
        <v/>
      </c>
      <c r="AZ561" s="4" t="str">
        <f t="shared" si="264"/>
        <v/>
      </c>
      <c r="BA561" s="4" t="str">
        <f t="shared" si="265"/>
        <v/>
      </c>
    </row>
    <row r="562" spans="51:53">
      <c r="AY562" s="4" t="str">
        <f t="shared" si="263"/>
        <v/>
      </c>
      <c r="AZ562" s="4" t="str">
        <f t="shared" si="264"/>
        <v/>
      </c>
      <c r="BA562" s="4" t="str">
        <f t="shared" si="265"/>
        <v/>
      </c>
    </row>
    <row r="563" spans="51:53">
      <c r="AY563" s="4" t="str">
        <f t="shared" si="263"/>
        <v/>
      </c>
      <c r="AZ563" s="4" t="str">
        <f t="shared" si="264"/>
        <v/>
      </c>
      <c r="BA563" s="4" t="str">
        <f t="shared" si="265"/>
        <v/>
      </c>
    </row>
    <row r="564" spans="51:53">
      <c r="AY564" s="4" t="str">
        <f t="shared" si="263"/>
        <v/>
      </c>
      <c r="AZ564" s="4" t="str">
        <f t="shared" si="264"/>
        <v/>
      </c>
      <c r="BA564" s="4" t="str">
        <f t="shared" si="265"/>
        <v/>
      </c>
    </row>
    <row r="565" spans="51:53">
      <c r="AY565" s="4" t="str">
        <f t="shared" si="263"/>
        <v/>
      </c>
      <c r="AZ565" s="4" t="str">
        <f t="shared" si="264"/>
        <v/>
      </c>
      <c r="BA565" s="4" t="str">
        <f t="shared" si="265"/>
        <v/>
      </c>
    </row>
    <row r="566" spans="51:53">
      <c r="AY566" s="4" t="str">
        <f t="shared" si="263"/>
        <v/>
      </c>
      <c r="AZ566" s="4" t="str">
        <f t="shared" si="264"/>
        <v/>
      </c>
      <c r="BA566" s="4" t="str">
        <f t="shared" si="265"/>
        <v/>
      </c>
    </row>
    <row r="567" spans="51:53">
      <c r="AY567" s="4" t="str">
        <f t="shared" si="263"/>
        <v/>
      </c>
      <c r="AZ567" s="4" t="str">
        <f t="shared" si="264"/>
        <v/>
      </c>
      <c r="BA567" s="4" t="str">
        <f t="shared" si="265"/>
        <v/>
      </c>
    </row>
    <row r="568" spans="51:53">
      <c r="AY568" s="4" t="str">
        <f t="shared" si="263"/>
        <v/>
      </c>
      <c r="AZ568" s="4" t="str">
        <f t="shared" si="264"/>
        <v/>
      </c>
      <c r="BA568" s="4" t="str">
        <f t="shared" si="265"/>
        <v/>
      </c>
    </row>
    <row r="569" spans="51:53">
      <c r="AY569" s="4" t="str">
        <f t="shared" si="263"/>
        <v/>
      </c>
      <c r="AZ569" s="4" t="str">
        <f t="shared" si="264"/>
        <v/>
      </c>
      <c r="BA569" s="4" t="str">
        <f t="shared" si="265"/>
        <v/>
      </c>
    </row>
    <row r="570" spans="51:53">
      <c r="AY570" s="4" t="str">
        <f t="shared" si="263"/>
        <v/>
      </c>
      <c r="AZ570" s="4" t="str">
        <f t="shared" si="264"/>
        <v/>
      </c>
      <c r="BA570" s="4" t="str">
        <f t="shared" si="265"/>
        <v/>
      </c>
    </row>
    <row r="571" spans="51:53">
      <c r="AY571" s="4" t="str">
        <f t="shared" si="263"/>
        <v/>
      </c>
      <c r="AZ571" s="4" t="str">
        <f t="shared" si="264"/>
        <v/>
      </c>
      <c r="BA571" s="4" t="str">
        <f t="shared" si="265"/>
        <v/>
      </c>
    </row>
    <row r="572" spans="51:53">
      <c r="AY572" s="4" t="str">
        <f t="shared" si="263"/>
        <v/>
      </c>
      <c r="AZ572" s="4" t="str">
        <f t="shared" si="264"/>
        <v/>
      </c>
      <c r="BA572" s="4" t="str">
        <f t="shared" si="265"/>
        <v/>
      </c>
    </row>
    <row r="573" spans="51:53">
      <c r="AY573" s="4" t="str">
        <f t="shared" si="263"/>
        <v/>
      </c>
      <c r="AZ573" s="4" t="str">
        <f t="shared" si="264"/>
        <v/>
      </c>
      <c r="BA573" s="4" t="str">
        <f t="shared" si="265"/>
        <v/>
      </c>
    </row>
    <row r="574" spans="51:53">
      <c r="AY574" s="4" t="str">
        <f t="shared" si="263"/>
        <v/>
      </c>
      <c r="AZ574" s="4" t="str">
        <f t="shared" si="264"/>
        <v/>
      </c>
      <c r="BA574" s="4" t="str">
        <f t="shared" si="265"/>
        <v/>
      </c>
    </row>
    <row r="575" spans="51:53">
      <c r="AY575" s="4" t="str">
        <f t="shared" si="263"/>
        <v/>
      </c>
      <c r="AZ575" s="4" t="str">
        <f t="shared" si="264"/>
        <v/>
      </c>
      <c r="BA575" s="4" t="str">
        <f t="shared" si="265"/>
        <v/>
      </c>
    </row>
    <row r="576" spans="51:53">
      <c r="AY576" s="4" t="str">
        <f t="shared" si="263"/>
        <v/>
      </c>
      <c r="AZ576" s="4" t="str">
        <f t="shared" si="264"/>
        <v/>
      </c>
      <c r="BA576" s="4" t="str">
        <f t="shared" si="265"/>
        <v/>
      </c>
    </row>
    <row r="577" spans="51:53">
      <c r="AY577" s="4" t="str">
        <f t="shared" si="263"/>
        <v/>
      </c>
      <c r="AZ577" s="4" t="str">
        <f t="shared" si="264"/>
        <v/>
      </c>
      <c r="BA577" s="4" t="str">
        <f t="shared" si="265"/>
        <v/>
      </c>
    </row>
    <row r="578" spans="51:53">
      <c r="AY578" s="4" t="str">
        <f t="shared" si="263"/>
        <v/>
      </c>
      <c r="AZ578" s="4" t="str">
        <f t="shared" si="264"/>
        <v/>
      </c>
      <c r="BA578" s="4" t="str">
        <f t="shared" si="265"/>
        <v/>
      </c>
    </row>
    <row r="579" spans="51:53">
      <c r="AY579" s="4" t="str">
        <f t="shared" si="263"/>
        <v/>
      </c>
      <c r="AZ579" s="4" t="str">
        <f t="shared" si="264"/>
        <v/>
      </c>
      <c r="BA579" s="4" t="str">
        <f t="shared" si="265"/>
        <v/>
      </c>
    </row>
    <row r="580" spans="51:53">
      <c r="AY580" s="4" t="str">
        <f t="shared" si="263"/>
        <v/>
      </c>
      <c r="AZ580" s="4" t="str">
        <f t="shared" si="264"/>
        <v/>
      </c>
      <c r="BA580" s="4" t="str">
        <f t="shared" si="265"/>
        <v/>
      </c>
    </row>
    <row r="581" spans="51:53">
      <c r="AY581" s="4" t="str">
        <f t="shared" si="263"/>
        <v/>
      </c>
      <c r="AZ581" s="4" t="str">
        <f t="shared" si="264"/>
        <v/>
      </c>
      <c r="BA581" s="4" t="str">
        <f t="shared" si="265"/>
        <v/>
      </c>
    </row>
    <row r="582" spans="51:53">
      <c r="AY582" s="4" t="str">
        <f t="shared" si="263"/>
        <v/>
      </c>
      <c r="AZ582" s="4" t="str">
        <f t="shared" si="264"/>
        <v/>
      </c>
      <c r="BA582" s="4" t="str">
        <f t="shared" si="265"/>
        <v/>
      </c>
    </row>
    <row r="583" spans="51:53">
      <c r="AY583" s="4" t="str">
        <f t="shared" si="263"/>
        <v/>
      </c>
      <c r="AZ583" s="4" t="str">
        <f t="shared" si="264"/>
        <v/>
      </c>
      <c r="BA583" s="4" t="str">
        <f t="shared" si="265"/>
        <v/>
      </c>
    </row>
    <row r="584" spans="51:53">
      <c r="AY584" s="4" t="str">
        <f t="shared" si="263"/>
        <v/>
      </c>
      <c r="AZ584" s="4" t="str">
        <f t="shared" si="264"/>
        <v/>
      </c>
      <c r="BA584" s="4" t="str">
        <f t="shared" si="265"/>
        <v/>
      </c>
    </row>
    <row r="585" spans="51:53">
      <c r="AY585" s="4" t="str">
        <f t="shared" si="263"/>
        <v/>
      </c>
      <c r="AZ585" s="4" t="str">
        <f t="shared" si="264"/>
        <v/>
      </c>
      <c r="BA585" s="4" t="str">
        <f t="shared" si="265"/>
        <v/>
      </c>
    </row>
    <row r="586" spans="51:53">
      <c r="AY586" s="4" t="str">
        <f t="shared" si="263"/>
        <v/>
      </c>
      <c r="AZ586" s="4" t="str">
        <f t="shared" si="264"/>
        <v/>
      </c>
      <c r="BA586" s="4" t="str">
        <f t="shared" si="265"/>
        <v/>
      </c>
    </row>
    <row r="587" spans="51:53">
      <c r="AY587" s="4" t="str">
        <f t="shared" si="263"/>
        <v/>
      </c>
      <c r="AZ587" s="4" t="str">
        <f t="shared" si="264"/>
        <v/>
      </c>
      <c r="BA587" s="4" t="str">
        <f t="shared" si="265"/>
        <v/>
      </c>
    </row>
    <row r="588" spans="51:53">
      <c r="AY588" s="4" t="str">
        <f t="shared" si="263"/>
        <v/>
      </c>
      <c r="AZ588" s="4" t="str">
        <f t="shared" si="264"/>
        <v/>
      </c>
      <c r="BA588" s="4" t="str">
        <f t="shared" si="265"/>
        <v/>
      </c>
    </row>
    <row r="589" spans="51:53">
      <c r="AY589" s="4" t="str">
        <f t="shared" si="263"/>
        <v/>
      </c>
      <c r="AZ589" s="4" t="str">
        <f t="shared" si="264"/>
        <v/>
      </c>
      <c r="BA589" s="4" t="str">
        <f t="shared" si="265"/>
        <v/>
      </c>
    </row>
    <row r="590" spans="51:53">
      <c r="AY590" s="4" t="str">
        <f t="shared" si="263"/>
        <v/>
      </c>
      <c r="AZ590" s="4" t="str">
        <f t="shared" si="264"/>
        <v/>
      </c>
      <c r="BA590" s="4" t="str">
        <f t="shared" si="265"/>
        <v/>
      </c>
    </row>
    <row r="591" spans="51:53">
      <c r="AY591" s="4" t="str">
        <f t="shared" si="263"/>
        <v/>
      </c>
      <c r="AZ591" s="4" t="str">
        <f t="shared" si="264"/>
        <v/>
      </c>
      <c r="BA591" s="4" t="str">
        <f t="shared" si="265"/>
        <v/>
      </c>
    </row>
    <row r="592" spans="51:53">
      <c r="AY592" s="4" t="str">
        <f t="shared" si="263"/>
        <v/>
      </c>
      <c r="AZ592" s="4" t="str">
        <f t="shared" si="264"/>
        <v/>
      </c>
      <c r="BA592" s="4" t="str">
        <f t="shared" si="265"/>
        <v/>
      </c>
    </row>
    <row r="593" spans="51:53">
      <c r="AY593" s="4" t="str">
        <f t="shared" si="263"/>
        <v/>
      </c>
      <c r="AZ593" s="4" t="str">
        <f t="shared" si="264"/>
        <v/>
      </c>
      <c r="BA593" s="4" t="str">
        <f t="shared" si="265"/>
        <v/>
      </c>
    </row>
    <row r="594" spans="51:53">
      <c r="AY594" s="4" t="str">
        <f t="shared" si="263"/>
        <v/>
      </c>
      <c r="AZ594" s="4" t="str">
        <f t="shared" si="264"/>
        <v/>
      </c>
      <c r="BA594" s="4" t="str">
        <f t="shared" si="265"/>
        <v/>
      </c>
    </row>
    <row r="595" spans="51:53">
      <c r="AY595" s="4" t="str">
        <f t="shared" si="263"/>
        <v/>
      </c>
      <c r="AZ595" s="4" t="str">
        <f t="shared" si="264"/>
        <v/>
      </c>
      <c r="BA595" s="4" t="str">
        <f t="shared" si="265"/>
        <v/>
      </c>
    </row>
    <row r="596" spans="51:53">
      <c r="AY596" s="4" t="str">
        <f t="shared" si="263"/>
        <v/>
      </c>
      <c r="AZ596" s="4" t="str">
        <f t="shared" si="264"/>
        <v/>
      </c>
      <c r="BA596" s="4" t="str">
        <f t="shared" si="265"/>
        <v/>
      </c>
    </row>
    <row r="597" spans="51:53">
      <c r="AY597" s="4" t="str">
        <f t="shared" si="263"/>
        <v/>
      </c>
      <c r="AZ597" s="4" t="str">
        <f t="shared" si="264"/>
        <v/>
      </c>
      <c r="BA597" s="4" t="str">
        <f t="shared" si="265"/>
        <v/>
      </c>
    </row>
    <row r="598" spans="51:53">
      <c r="AY598" s="4" t="str">
        <f t="shared" si="263"/>
        <v/>
      </c>
      <c r="AZ598" s="4" t="str">
        <f t="shared" si="264"/>
        <v/>
      </c>
      <c r="BA598" s="4" t="str">
        <f t="shared" si="265"/>
        <v/>
      </c>
    </row>
    <row r="599" spans="51:53">
      <c r="AY599" s="4" t="str">
        <f t="shared" si="263"/>
        <v/>
      </c>
      <c r="AZ599" s="4" t="str">
        <f t="shared" si="264"/>
        <v/>
      </c>
      <c r="BA599" s="4" t="str">
        <f t="shared" si="265"/>
        <v/>
      </c>
    </row>
    <row r="600" spans="51:53">
      <c r="AY600" s="4" t="str">
        <f t="shared" si="263"/>
        <v/>
      </c>
      <c r="AZ600" s="4" t="str">
        <f t="shared" si="264"/>
        <v/>
      </c>
      <c r="BA600" s="4" t="str">
        <f t="shared" si="265"/>
        <v/>
      </c>
    </row>
    <row r="601" spans="51:53">
      <c r="AY601" s="4" t="str">
        <f t="shared" si="263"/>
        <v/>
      </c>
      <c r="AZ601" s="4" t="str">
        <f t="shared" si="264"/>
        <v/>
      </c>
      <c r="BA601" s="4" t="str">
        <f t="shared" si="265"/>
        <v/>
      </c>
    </row>
    <row r="602" spans="51:53">
      <c r="AY602" s="4" t="str">
        <f t="shared" si="263"/>
        <v/>
      </c>
      <c r="AZ602" s="4" t="str">
        <f t="shared" si="264"/>
        <v/>
      </c>
      <c r="BA602" s="4" t="str">
        <f t="shared" si="265"/>
        <v/>
      </c>
    </row>
    <row r="603" spans="51:53">
      <c r="AY603" s="4" t="str">
        <f t="shared" si="263"/>
        <v/>
      </c>
      <c r="AZ603" s="4" t="str">
        <f t="shared" si="264"/>
        <v/>
      </c>
      <c r="BA603" s="4" t="str">
        <f t="shared" si="265"/>
        <v/>
      </c>
    </row>
    <row r="604" spans="51:53">
      <c r="AY604" s="4" t="str">
        <f t="shared" si="263"/>
        <v/>
      </c>
      <c r="AZ604" s="4" t="str">
        <f t="shared" si="264"/>
        <v/>
      </c>
      <c r="BA604" s="4" t="str">
        <f t="shared" si="265"/>
        <v/>
      </c>
    </row>
    <row r="605" spans="51:53">
      <c r="AY605" s="4" t="str">
        <f t="shared" si="263"/>
        <v/>
      </c>
      <c r="AZ605" s="4" t="str">
        <f t="shared" si="264"/>
        <v/>
      </c>
      <c r="BA605" s="4" t="str">
        <f t="shared" si="265"/>
        <v/>
      </c>
    </row>
    <row r="606" spans="51:53">
      <c r="AY606" s="4" t="str">
        <f t="shared" si="263"/>
        <v/>
      </c>
      <c r="AZ606" s="4" t="str">
        <f t="shared" si="264"/>
        <v/>
      </c>
      <c r="BA606" s="4" t="str">
        <f t="shared" si="265"/>
        <v/>
      </c>
    </row>
    <row r="607" spans="51:53">
      <c r="AY607" s="4" t="str">
        <f t="shared" si="263"/>
        <v/>
      </c>
      <c r="AZ607" s="4" t="str">
        <f t="shared" si="264"/>
        <v/>
      </c>
      <c r="BA607" s="4" t="str">
        <f t="shared" si="265"/>
        <v/>
      </c>
    </row>
    <row r="608" spans="51:53">
      <c r="AY608" s="4" t="str">
        <f t="shared" si="263"/>
        <v/>
      </c>
      <c r="AZ608" s="4" t="str">
        <f t="shared" si="264"/>
        <v/>
      </c>
      <c r="BA608" s="4" t="str">
        <f t="shared" si="265"/>
        <v/>
      </c>
    </row>
    <row r="609" spans="51:53">
      <c r="AY609" s="4" t="str">
        <f t="shared" si="263"/>
        <v/>
      </c>
      <c r="AZ609" s="4" t="str">
        <f t="shared" si="264"/>
        <v/>
      </c>
      <c r="BA609" s="4" t="str">
        <f t="shared" si="265"/>
        <v/>
      </c>
    </row>
    <row r="610" spans="51:53">
      <c r="AY610" s="4" t="str">
        <f t="shared" ref="AY610:AY673" si="266">IF(AA610&gt;0,IF(AA610&gt;9,(AA610-Z610)/Z610,"&lt;10 cases"),"")</f>
        <v/>
      </c>
      <c r="AZ610" s="4" t="str">
        <f t="shared" ref="AZ610:AZ673" si="267">IF(AA610&gt;0,IF(AA610&gt;9,(AA610-(SUM(V610:Z610)/5))/AA610,"&lt;10 cases"),"")</f>
        <v/>
      </c>
      <c r="BA610" s="4" t="str">
        <f t="shared" ref="BA610:BA673" si="268">IF(AA610&gt;0,IF(AA610&gt;9,(AA610-SUM(Q610:Z610)/10)/AA610,"&lt;10 cases"),"")</f>
        <v/>
      </c>
    </row>
    <row r="611" spans="51:53">
      <c r="AY611" s="4" t="str">
        <f t="shared" si="266"/>
        <v/>
      </c>
      <c r="AZ611" s="4" t="str">
        <f t="shared" si="267"/>
        <v/>
      </c>
      <c r="BA611" s="4" t="str">
        <f t="shared" si="268"/>
        <v/>
      </c>
    </row>
    <row r="612" spans="51:53">
      <c r="AY612" s="4" t="str">
        <f t="shared" si="266"/>
        <v/>
      </c>
      <c r="AZ612" s="4" t="str">
        <f t="shared" si="267"/>
        <v/>
      </c>
      <c r="BA612" s="4" t="str">
        <f t="shared" si="268"/>
        <v/>
      </c>
    </row>
    <row r="613" spans="51:53">
      <c r="AY613" s="4" t="str">
        <f t="shared" si="266"/>
        <v/>
      </c>
      <c r="AZ613" s="4" t="str">
        <f t="shared" si="267"/>
        <v/>
      </c>
      <c r="BA613" s="4" t="str">
        <f t="shared" si="268"/>
        <v/>
      </c>
    </row>
    <row r="614" spans="51:53">
      <c r="AY614" s="4" t="str">
        <f t="shared" si="266"/>
        <v/>
      </c>
      <c r="AZ614" s="4" t="str">
        <f t="shared" si="267"/>
        <v/>
      </c>
      <c r="BA614" s="4" t="str">
        <f t="shared" si="268"/>
        <v/>
      </c>
    </row>
    <row r="615" spans="51:53">
      <c r="AY615" s="4" t="str">
        <f t="shared" si="266"/>
        <v/>
      </c>
      <c r="AZ615" s="4" t="str">
        <f t="shared" si="267"/>
        <v/>
      </c>
      <c r="BA615" s="4" t="str">
        <f t="shared" si="268"/>
        <v/>
      </c>
    </row>
    <row r="616" spans="51:53">
      <c r="AY616" s="4" t="str">
        <f t="shared" si="266"/>
        <v/>
      </c>
      <c r="AZ616" s="4" t="str">
        <f t="shared" si="267"/>
        <v/>
      </c>
      <c r="BA616" s="4" t="str">
        <f t="shared" si="268"/>
        <v/>
      </c>
    </row>
    <row r="617" spans="51:53">
      <c r="AY617" s="4" t="str">
        <f t="shared" si="266"/>
        <v/>
      </c>
      <c r="AZ617" s="4" t="str">
        <f t="shared" si="267"/>
        <v/>
      </c>
      <c r="BA617" s="4" t="str">
        <f t="shared" si="268"/>
        <v/>
      </c>
    </row>
    <row r="618" spans="51:53">
      <c r="AY618" s="4" t="str">
        <f t="shared" si="266"/>
        <v/>
      </c>
      <c r="AZ618" s="4" t="str">
        <f t="shared" si="267"/>
        <v/>
      </c>
      <c r="BA618" s="4" t="str">
        <f t="shared" si="268"/>
        <v/>
      </c>
    </row>
    <row r="619" spans="51:53">
      <c r="AY619" s="4" t="str">
        <f t="shared" si="266"/>
        <v/>
      </c>
      <c r="AZ619" s="4" t="str">
        <f t="shared" si="267"/>
        <v/>
      </c>
      <c r="BA619" s="4" t="str">
        <f t="shared" si="268"/>
        <v/>
      </c>
    </row>
    <row r="620" spans="51:53">
      <c r="AY620" s="4" t="str">
        <f t="shared" si="266"/>
        <v/>
      </c>
      <c r="AZ620" s="4" t="str">
        <f t="shared" si="267"/>
        <v/>
      </c>
      <c r="BA620" s="4" t="str">
        <f t="shared" si="268"/>
        <v/>
      </c>
    </row>
    <row r="621" spans="51:53">
      <c r="AY621" s="4" t="str">
        <f t="shared" si="266"/>
        <v/>
      </c>
      <c r="AZ621" s="4" t="str">
        <f t="shared" si="267"/>
        <v/>
      </c>
      <c r="BA621" s="4" t="str">
        <f t="shared" si="268"/>
        <v/>
      </c>
    </row>
    <row r="622" spans="51:53">
      <c r="AY622" s="4" t="str">
        <f t="shared" si="266"/>
        <v/>
      </c>
      <c r="AZ622" s="4" t="str">
        <f t="shared" si="267"/>
        <v/>
      </c>
      <c r="BA622" s="4" t="str">
        <f t="shared" si="268"/>
        <v/>
      </c>
    </row>
    <row r="623" spans="51:53">
      <c r="AY623" s="4" t="str">
        <f t="shared" si="266"/>
        <v/>
      </c>
      <c r="AZ623" s="4" t="str">
        <f t="shared" si="267"/>
        <v/>
      </c>
      <c r="BA623" s="4" t="str">
        <f t="shared" si="268"/>
        <v/>
      </c>
    </row>
    <row r="624" spans="51:53">
      <c r="AY624" s="4" t="str">
        <f t="shared" si="266"/>
        <v/>
      </c>
      <c r="AZ624" s="4" t="str">
        <f t="shared" si="267"/>
        <v/>
      </c>
      <c r="BA624" s="4" t="str">
        <f t="shared" si="268"/>
        <v/>
      </c>
    </row>
    <row r="625" spans="51:53">
      <c r="AY625" s="4" t="str">
        <f t="shared" si="266"/>
        <v/>
      </c>
      <c r="AZ625" s="4" t="str">
        <f t="shared" si="267"/>
        <v/>
      </c>
      <c r="BA625" s="4" t="str">
        <f t="shared" si="268"/>
        <v/>
      </c>
    </row>
    <row r="626" spans="51:53">
      <c r="AY626" s="4" t="str">
        <f t="shared" si="266"/>
        <v/>
      </c>
      <c r="AZ626" s="4" t="str">
        <f t="shared" si="267"/>
        <v/>
      </c>
      <c r="BA626" s="4" t="str">
        <f t="shared" si="268"/>
        <v/>
      </c>
    </row>
    <row r="627" spans="51:53">
      <c r="AY627" s="4" t="str">
        <f t="shared" si="266"/>
        <v/>
      </c>
      <c r="AZ627" s="4" t="str">
        <f t="shared" si="267"/>
        <v/>
      </c>
      <c r="BA627" s="4" t="str">
        <f t="shared" si="268"/>
        <v/>
      </c>
    </row>
    <row r="628" spans="51:53">
      <c r="AY628" s="4" t="str">
        <f t="shared" si="266"/>
        <v/>
      </c>
      <c r="AZ628" s="4" t="str">
        <f t="shared" si="267"/>
        <v/>
      </c>
      <c r="BA628" s="4" t="str">
        <f t="shared" si="268"/>
        <v/>
      </c>
    </row>
    <row r="629" spans="51:53">
      <c r="AY629" s="4" t="str">
        <f t="shared" si="266"/>
        <v/>
      </c>
      <c r="AZ629" s="4" t="str">
        <f t="shared" si="267"/>
        <v/>
      </c>
      <c r="BA629" s="4" t="str">
        <f t="shared" si="268"/>
        <v/>
      </c>
    </row>
    <row r="630" spans="51:53">
      <c r="AY630" s="4" t="str">
        <f t="shared" si="266"/>
        <v/>
      </c>
      <c r="AZ630" s="4" t="str">
        <f t="shared" si="267"/>
        <v/>
      </c>
      <c r="BA630" s="4" t="str">
        <f t="shared" si="268"/>
        <v/>
      </c>
    </row>
    <row r="631" spans="51:53">
      <c r="AY631" s="4" t="str">
        <f t="shared" si="266"/>
        <v/>
      </c>
      <c r="AZ631" s="4" t="str">
        <f t="shared" si="267"/>
        <v/>
      </c>
      <c r="BA631" s="4" t="str">
        <f t="shared" si="268"/>
        <v/>
      </c>
    </row>
    <row r="632" spans="51:53">
      <c r="AY632" s="4" t="str">
        <f t="shared" si="266"/>
        <v/>
      </c>
      <c r="AZ632" s="4" t="str">
        <f t="shared" si="267"/>
        <v/>
      </c>
      <c r="BA632" s="4" t="str">
        <f t="shared" si="268"/>
        <v/>
      </c>
    </row>
    <row r="633" spans="51:53">
      <c r="AY633" s="4" t="str">
        <f t="shared" si="266"/>
        <v/>
      </c>
      <c r="AZ633" s="4" t="str">
        <f t="shared" si="267"/>
        <v/>
      </c>
      <c r="BA633" s="4" t="str">
        <f t="shared" si="268"/>
        <v/>
      </c>
    </row>
    <row r="634" spans="51:53">
      <c r="AY634" s="4" t="str">
        <f t="shared" si="266"/>
        <v/>
      </c>
      <c r="AZ634" s="4" t="str">
        <f t="shared" si="267"/>
        <v/>
      </c>
      <c r="BA634" s="4" t="str">
        <f t="shared" si="268"/>
        <v/>
      </c>
    </row>
    <row r="635" spans="51:53">
      <c r="AY635" s="4" t="str">
        <f t="shared" si="266"/>
        <v/>
      </c>
      <c r="AZ635" s="4" t="str">
        <f t="shared" si="267"/>
        <v/>
      </c>
      <c r="BA635" s="4" t="str">
        <f t="shared" si="268"/>
        <v/>
      </c>
    </row>
    <row r="636" spans="51:53">
      <c r="AY636" s="4" t="str">
        <f t="shared" si="266"/>
        <v/>
      </c>
      <c r="AZ636" s="4" t="str">
        <f t="shared" si="267"/>
        <v/>
      </c>
      <c r="BA636" s="4" t="str">
        <f t="shared" si="268"/>
        <v/>
      </c>
    </row>
    <row r="637" spans="51:53">
      <c r="AY637" s="4" t="str">
        <f t="shared" si="266"/>
        <v/>
      </c>
      <c r="AZ637" s="4" t="str">
        <f t="shared" si="267"/>
        <v/>
      </c>
      <c r="BA637" s="4" t="str">
        <f t="shared" si="268"/>
        <v/>
      </c>
    </row>
    <row r="638" spans="51:53">
      <c r="AY638" s="4" t="str">
        <f t="shared" si="266"/>
        <v/>
      </c>
      <c r="AZ638" s="4" t="str">
        <f t="shared" si="267"/>
        <v/>
      </c>
      <c r="BA638" s="4" t="str">
        <f t="shared" si="268"/>
        <v/>
      </c>
    </row>
    <row r="639" spans="51:53">
      <c r="AY639" s="4" t="str">
        <f t="shared" si="266"/>
        <v/>
      </c>
      <c r="AZ639" s="4" t="str">
        <f t="shared" si="267"/>
        <v/>
      </c>
      <c r="BA639" s="4" t="str">
        <f t="shared" si="268"/>
        <v/>
      </c>
    </row>
    <row r="640" spans="51:53">
      <c r="AY640" s="4" t="str">
        <f t="shared" si="266"/>
        <v/>
      </c>
      <c r="AZ640" s="4" t="str">
        <f t="shared" si="267"/>
        <v/>
      </c>
      <c r="BA640" s="4" t="str">
        <f t="shared" si="268"/>
        <v/>
      </c>
    </row>
    <row r="641" spans="51:53">
      <c r="AY641" s="4" t="str">
        <f t="shared" si="266"/>
        <v/>
      </c>
      <c r="AZ641" s="4" t="str">
        <f t="shared" si="267"/>
        <v/>
      </c>
      <c r="BA641" s="4" t="str">
        <f t="shared" si="268"/>
        <v/>
      </c>
    </row>
    <row r="642" spans="51:53">
      <c r="AY642" s="4" t="str">
        <f t="shared" si="266"/>
        <v/>
      </c>
      <c r="AZ642" s="4" t="str">
        <f t="shared" si="267"/>
        <v/>
      </c>
      <c r="BA642" s="4" t="str">
        <f t="shared" si="268"/>
        <v/>
      </c>
    </row>
    <row r="643" spans="51:53">
      <c r="AY643" s="4" t="str">
        <f t="shared" si="266"/>
        <v/>
      </c>
      <c r="AZ643" s="4" t="str">
        <f t="shared" si="267"/>
        <v/>
      </c>
      <c r="BA643" s="4" t="str">
        <f t="shared" si="268"/>
        <v/>
      </c>
    </row>
    <row r="644" spans="51:53">
      <c r="AY644" s="4" t="str">
        <f t="shared" si="266"/>
        <v/>
      </c>
      <c r="AZ644" s="4" t="str">
        <f t="shared" si="267"/>
        <v/>
      </c>
      <c r="BA644" s="4" t="str">
        <f t="shared" si="268"/>
        <v/>
      </c>
    </row>
    <row r="645" spans="51:53">
      <c r="AY645" s="4" t="str">
        <f t="shared" si="266"/>
        <v/>
      </c>
      <c r="AZ645" s="4" t="str">
        <f t="shared" si="267"/>
        <v/>
      </c>
      <c r="BA645" s="4" t="str">
        <f t="shared" si="268"/>
        <v/>
      </c>
    </row>
    <row r="646" spans="51:53">
      <c r="AY646" s="4" t="str">
        <f t="shared" si="266"/>
        <v/>
      </c>
      <c r="AZ646" s="4" t="str">
        <f t="shared" si="267"/>
        <v/>
      </c>
      <c r="BA646" s="4" t="str">
        <f t="shared" si="268"/>
        <v/>
      </c>
    </row>
    <row r="647" spans="51:53">
      <c r="AY647" s="4" t="str">
        <f t="shared" si="266"/>
        <v/>
      </c>
      <c r="AZ647" s="4" t="str">
        <f t="shared" si="267"/>
        <v/>
      </c>
      <c r="BA647" s="4" t="str">
        <f t="shared" si="268"/>
        <v/>
      </c>
    </row>
    <row r="648" spans="51:53">
      <c r="AY648" s="4" t="str">
        <f t="shared" si="266"/>
        <v/>
      </c>
      <c r="AZ648" s="4" t="str">
        <f t="shared" si="267"/>
        <v/>
      </c>
      <c r="BA648" s="4" t="str">
        <f t="shared" si="268"/>
        <v/>
      </c>
    </row>
    <row r="649" spans="51:53">
      <c r="AY649" s="4" t="str">
        <f t="shared" si="266"/>
        <v/>
      </c>
      <c r="AZ649" s="4" t="str">
        <f t="shared" si="267"/>
        <v/>
      </c>
      <c r="BA649" s="4" t="str">
        <f t="shared" si="268"/>
        <v/>
      </c>
    </row>
    <row r="650" spans="51:53">
      <c r="AY650" s="4" t="str">
        <f t="shared" si="266"/>
        <v/>
      </c>
      <c r="AZ650" s="4" t="str">
        <f t="shared" si="267"/>
        <v/>
      </c>
      <c r="BA650" s="4" t="str">
        <f t="shared" si="268"/>
        <v/>
      </c>
    </row>
    <row r="651" spans="51:53">
      <c r="AY651" s="4" t="str">
        <f t="shared" si="266"/>
        <v/>
      </c>
      <c r="AZ651" s="4" t="str">
        <f t="shared" si="267"/>
        <v/>
      </c>
      <c r="BA651" s="4" t="str">
        <f t="shared" si="268"/>
        <v/>
      </c>
    </row>
    <row r="652" spans="51:53">
      <c r="AY652" s="4" t="str">
        <f t="shared" si="266"/>
        <v/>
      </c>
      <c r="AZ652" s="4" t="str">
        <f t="shared" si="267"/>
        <v/>
      </c>
      <c r="BA652" s="4" t="str">
        <f t="shared" si="268"/>
        <v/>
      </c>
    </row>
    <row r="653" spans="51:53">
      <c r="AY653" s="4" t="str">
        <f t="shared" si="266"/>
        <v/>
      </c>
      <c r="AZ653" s="4" t="str">
        <f t="shared" si="267"/>
        <v/>
      </c>
      <c r="BA653" s="4" t="str">
        <f t="shared" si="268"/>
        <v/>
      </c>
    </row>
    <row r="654" spans="51:53">
      <c r="AY654" s="4" t="str">
        <f t="shared" si="266"/>
        <v/>
      </c>
      <c r="AZ654" s="4" t="str">
        <f t="shared" si="267"/>
        <v/>
      </c>
      <c r="BA654" s="4" t="str">
        <f t="shared" si="268"/>
        <v/>
      </c>
    </row>
    <row r="655" spans="51:53">
      <c r="AY655" s="4" t="str">
        <f t="shared" si="266"/>
        <v/>
      </c>
      <c r="AZ655" s="4" t="str">
        <f t="shared" si="267"/>
        <v/>
      </c>
      <c r="BA655" s="4" t="str">
        <f t="shared" si="268"/>
        <v/>
      </c>
    </row>
    <row r="656" spans="51:53">
      <c r="AY656" s="4" t="str">
        <f t="shared" si="266"/>
        <v/>
      </c>
      <c r="AZ656" s="4" t="str">
        <f t="shared" si="267"/>
        <v/>
      </c>
      <c r="BA656" s="4" t="str">
        <f t="shared" si="268"/>
        <v/>
      </c>
    </row>
    <row r="657" spans="51:53">
      <c r="AY657" s="4" t="str">
        <f t="shared" si="266"/>
        <v/>
      </c>
      <c r="AZ657" s="4" t="str">
        <f t="shared" si="267"/>
        <v/>
      </c>
      <c r="BA657" s="4" t="str">
        <f t="shared" si="268"/>
        <v/>
      </c>
    </row>
    <row r="658" spans="51:53">
      <c r="AY658" s="4" t="str">
        <f t="shared" si="266"/>
        <v/>
      </c>
      <c r="AZ658" s="4" t="str">
        <f t="shared" si="267"/>
        <v/>
      </c>
      <c r="BA658" s="4" t="str">
        <f t="shared" si="268"/>
        <v/>
      </c>
    </row>
    <row r="659" spans="51:53">
      <c r="AY659" s="4" t="str">
        <f t="shared" si="266"/>
        <v/>
      </c>
      <c r="AZ659" s="4" t="str">
        <f t="shared" si="267"/>
        <v/>
      </c>
      <c r="BA659" s="4" t="str">
        <f t="shared" si="268"/>
        <v/>
      </c>
    </row>
    <row r="660" spans="51:53">
      <c r="AY660" s="4" t="str">
        <f t="shared" si="266"/>
        <v/>
      </c>
      <c r="AZ660" s="4" t="str">
        <f t="shared" si="267"/>
        <v/>
      </c>
      <c r="BA660" s="4" t="str">
        <f t="shared" si="268"/>
        <v/>
      </c>
    </row>
    <row r="661" spans="51:53">
      <c r="AY661" s="4" t="str">
        <f t="shared" si="266"/>
        <v/>
      </c>
      <c r="AZ661" s="4" t="str">
        <f t="shared" si="267"/>
        <v/>
      </c>
      <c r="BA661" s="4" t="str">
        <f t="shared" si="268"/>
        <v/>
      </c>
    </row>
    <row r="662" spans="51:53">
      <c r="AY662" s="4" t="str">
        <f t="shared" si="266"/>
        <v/>
      </c>
      <c r="AZ662" s="4" t="str">
        <f t="shared" si="267"/>
        <v/>
      </c>
      <c r="BA662" s="4" t="str">
        <f t="shared" si="268"/>
        <v/>
      </c>
    </row>
    <row r="663" spans="51:53">
      <c r="AY663" s="4" t="str">
        <f t="shared" si="266"/>
        <v/>
      </c>
      <c r="AZ663" s="4" t="str">
        <f t="shared" si="267"/>
        <v/>
      </c>
      <c r="BA663" s="4" t="str">
        <f t="shared" si="268"/>
        <v/>
      </c>
    </row>
    <row r="664" spans="51:53">
      <c r="AY664" s="4" t="str">
        <f t="shared" si="266"/>
        <v/>
      </c>
      <c r="AZ664" s="4" t="str">
        <f t="shared" si="267"/>
        <v/>
      </c>
      <c r="BA664" s="4" t="str">
        <f t="shared" si="268"/>
        <v/>
      </c>
    </row>
    <row r="665" spans="51:53">
      <c r="AY665" s="4" t="str">
        <f t="shared" si="266"/>
        <v/>
      </c>
      <c r="AZ665" s="4" t="str">
        <f t="shared" si="267"/>
        <v/>
      </c>
      <c r="BA665" s="4" t="str">
        <f t="shared" si="268"/>
        <v/>
      </c>
    </row>
    <row r="666" spans="51:53">
      <c r="AY666" s="4" t="str">
        <f t="shared" si="266"/>
        <v/>
      </c>
      <c r="AZ666" s="4" t="str">
        <f t="shared" si="267"/>
        <v/>
      </c>
      <c r="BA666" s="4" t="str">
        <f t="shared" si="268"/>
        <v/>
      </c>
    </row>
    <row r="667" spans="51:53">
      <c r="AY667" s="4" t="str">
        <f t="shared" si="266"/>
        <v/>
      </c>
      <c r="AZ667" s="4" t="str">
        <f t="shared" si="267"/>
        <v/>
      </c>
      <c r="BA667" s="4" t="str">
        <f t="shared" si="268"/>
        <v/>
      </c>
    </row>
    <row r="668" spans="51:53">
      <c r="AY668" s="4" t="str">
        <f t="shared" si="266"/>
        <v/>
      </c>
      <c r="AZ668" s="4" t="str">
        <f t="shared" si="267"/>
        <v/>
      </c>
      <c r="BA668" s="4" t="str">
        <f t="shared" si="268"/>
        <v/>
      </c>
    </row>
    <row r="669" spans="51:53">
      <c r="AY669" s="4" t="str">
        <f t="shared" si="266"/>
        <v/>
      </c>
      <c r="AZ669" s="4" t="str">
        <f t="shared" si="267"/>
        <v/>
      </c>
      <c r="BA669" s="4" t="str">
        <f t="shared" si="268"/>
        <v/>
      </c>
    </row>
    <row r="670" spans="51:53">
      <c r="AY670" s="4" t="str">
        <f t="shared" si="266"/>
        <v/>
      </c>
      <c r="AZ670" s="4" t="str">
        <f t="shared" si="267"/>
        <v/>
      </c>
      <c r="BA670" s="4" t="str">
        <f t="shared" si="268"/>
        <v/>
      </c>
    </row>
    <row r="671" spans="51:53">
      <c r="AY671" s="4" t="str">
        <f t="shared" si="266"/>
        <v/>
      </c>
      <c r="AZ671" s="4" t="str">
        <f t="shared" si="267"/>
        <v/>
      </c>
      <c r="BA671" s="4" t="str">
        <f t="shared" si="268"/>
        <v/>
      </c>
    </row>
    <row r="672" spans="51:53">
      <c r="AY672" s="4" t="str">
        <f t="shared" si="266"/>
        <v/>
      </c>
      <c r="AZ672" s="4" t="str">
        <f t="shared" si="267"/>
        <v/>
      </c>
      <c r="BA672" s="4" t="str">
        <f t="shared" si="268"/>
        <v/>
      </c>
    </row>
    <row r="673" spans="51:53">
      <c r="AY673" s="4" t="str">
        <f t="shared" si="266"/>
        <v/>
      </c>
      <c r="AZ673" s="4" t="str">
        <f t="shared" si="267"/>
        <v/>
      </c>
      <c r="BA673" s="4" t="str">
        <f t="shared" si="268"/>
        <v/>
      </c>
    </row>
    <row r="674" spans="51:53">
      <c r="AY674" s="4" t="str">
        <f t="shared" ref="AY674:AY706" si="269">IF(AA674&gt;0,IF(AA674&gt;9,(AA674-Z674)/Z674,"&lt;10 cases"),"")</f>
        <v/>
      </c>
      <c r="AZ674" s="4" t="str">
        <f t="shared" ref="AZ674:AZ706" si="270">IF(AA674&gt;0,IF(AA674&gt;9,(AA674-(SUM(V674:Z674)/5))/AA674,"&lt;10 cases"),"")</f>
        <v/>
      </c>
      <c r="BA674" s="4" t="str">
        <f t="shared" ref="BA674:BA706" si="271">IF(AA674&gt;0,IF(AA674&gt;9,(AA674-SUM(Q674:Z674)/10)/AA674,"&lt;10 cases"),"")</f>
        <v/>
      </c>
    </row>
    <row r="675" spans="51:53">
      <c r="AY675" s="4" t="str">
        <f t="shared" si="269"/>
        <v/>
      </c>
      <c r="AZ675" s="4" t="str">
        <f t="shared" si="270"/>
        <v/>
      </c>
      <c r="BA675" s="4" t="str">
        <f t="shared" si="271"/>
        <v/>
      </c>
    </row>
    <row r="676" spans="51:53">
      <c r="AY676" s="4" t="str">
        <f t="shared" si="269"/>
        <v/>
      </c>
      <c r="AZ676" s="4" t="str">
        <f t="shared" si="270"/>
        <v/>
      </c>
      <c r="BA676" s="4" t="str">
        <f t="shared" si="271"/>
        <v/>
      </c>
    </row>
    <row r="677" spans="51:53">
      <c r="AY677" s="4" t="str">
        <f t="shared" si="269"/>
        <v/>
      </c>
      <c r="AZ677" s="4" t="str">
        <f t="shared" si="270"/>
        <v/>
      </c>
      <c r="BA677" s="4" t="str">
        <f t="shared" si="271"/>
        <v/>
      </c>
    </row>
    <row r="678" spans="51:53">
      <c r="AY678" s="4" t="str">
        <f t="shared" si="269"/>
        <v/>
      </c>
      <c r="AZ678" s="4" t="str">
        <f t="shared" si="270"/>
        <v/>
      </c>
      <c r="BA678" s="4" t="str">
        <f t="shared" si="271"/>
        <v/>
      </c>
    </row>
    <row r="679" spans="51:53">
      <c r="AY679" s="4" t="str">
        <f t="shared" si="269"/>
        <v/>
      </c>
      <c r="AZ679" s="4" t="str">
        <f t="shared" si="270"/>
        <v/>
      </c>
      <c r="BA679" s="4" t="str">
        <f t="shared" si="271"/>
        <v/>
      </c>
    </row>
    <row r="680" spans="51:53">
      <c r="AY680" s="4" t="str">
        <f t="shared" si="269"/>
        <v/>
      </c>
      <c r="AZ680" s="4" t="str">
        <f t="shared" si="270"/>
        <v/>
      </c>
      <c r="BA680" s="4" t="str">
        <f t="shared" si="271"/>
        <v/>
      </c>
    </row>
    <row r="681" spans="51:53">
      <c r="AY681" s="4" t="str">
        <f t="shared" si="269"/>
        <v/>
      </c>
      <c r="AZ681" s="4" t="str">
        <f t="shared" si="270"/>
        <v/>
      </c>
      <c r="BA681" s="4" t="str">
        <f t="shared" si="271"/>
        <v/>
      </c>
    </row>
    <row r="682" spans="51:53">
      <c r="AY682" s="4" t="str">
        <f t="shared" si="269"/>
        <v/>
      </c>
      <c r="AZ682" s="4" t="str">
        <f t="shared" si="270"/>
        <v/>
      </c>
      <c r="BA682" s="4" t="str">
        <f t="shared" si="271"/>
        <v/>
      </c>
    </row>
    <row r="683" spans="51:53">
      <c r="AY683" s="4" t="str">
        <f t="shared" si="269"/>
        <v/>
      </c>
      <c r="AZ683" s="4" t="str">
        <f t="shared" si="270"/>
        <v/>
      </c>
      <c r="BA683" s="4" t="str">
        <f t="shared" si="271"/>
        <v/>
      </c>
    </row>
    <row r="684" spans="51:53">
      <c r="AY684" s="4" t="str">
        <f t="shared" si="269"/>
        <v/>
      </c>
      <c r="AZ684" s="4" t="str">
        <f t="shared" si="270"/>
        <v/>
      </c>
      <c r="BA684" s="4" t="str">
        <f t="shared" si="271"/>
        <v/>
      </c>
    </row>
    <row r="685" spans="51:53">
      <c r="AY685" s="4" t="str">
        <f t="shared" si="269"/>
        <v/>
      </c>
      <c r="AZ685" s="4" t="str">
        <f t="shared" si="270"/>
        <v/>
      </c>
      <c r="BA685" s="4" t="str">
        <f t="shared" si="271"/>
        <v/>
      </c>
    </row>
    <row r="686" spans="51:53">
      <c r="AY686" s="4" t="str">
        <f t="shared" si="269"/>
        <v/>
      </c>
      <c r="AZ686" s="4" t="str">
        <f t="shared" si="270"/>
        <v/>
      </c>
      <c r="BA686" s="4" t="str">
        <f t="shared" si="271"/>
        <v/>
      </c>
    </row>
    <row r="687" spans="51:53">
      <c r="AY687" s="4" t="str">
        <f t="shared" si="269"/>
        <v/>
      </c>
      <c r="AZ687" s="4" t="str">
        <f t="shared" si="270"/>
        <v/>
      </c>
      <c r="BA687" s="4" t="str">
        <f t="shared" si="271"/>
        <v/>
      </c>
    </row>
    <row r="688" spans="51:53">
      <c r="AY688" s="4" t="str">
        <f t="shared" si="269"/>
        <v/>
      </c>
      <c r="AZ688" s="4" t="str">
        <f t="shared" si="270"/>
        <v/>
      </c>
      <c r="BA688" s="4" t="str">
        <f t="shared" si="271"/>
        <v/>
      </c>
    </row>
    <row r="689" spans="51:53">
      <c r="AY689" s="4" t="str">
        <f t="shared" si="269"/>
        <v/>
      </c>
      <c r="AZ689" s="4" t="str">
        <f t="shared" si="270"/>
        <v/>
      </c>
      <c r="BA689" s="4" t="str">
        <f t="shared" si="271"/>
        <v/>
      </c>
    </row>
    <row r="690" spans="51:53">
      <c r="AY690" s="4" t="str">
        <f t="shared" si="269"/>
        <v/>
      </c>
      <c r="AZ690" s="4" t="str">
        <f t="shared" si="270"/>
        <v/>
      </c>
      <c r="BA690" s="4" t="str">
        <f t="shared" si="271"/>
        <v/>
      </c>
    </row>
    <row r="691" spans="51:53">
      <c r="AY691" s="4" t="str">
        <f t="shared" si="269"/>
        <v/>
      </c>
      <c r="AZ691" s="4" t="str">
        <f t="shared" si="270"/>
        <v/>
      </c>
      <c r="BA691" s="4" t="str">
        <f t="shared" si="271"/>
        <v/>
      </c>
    </row>
    <row r="692" spans="51:53">
      <c r="AY692" s="4" t="str">
        <f t="shared" si="269"/>
        <v/>
      </c>
      <c r="AZ692" s="4" t="str">
        <f t="shared" si="270"/>
        <v/>
      </c>
      <c r="BA692" s="4" t="str">
        <f t="shared" si="271"/>
        <v/>
      </c>
    </row>
    <row r="693" spans="51:53">
      <c r="AY693" s="4" t="str">
        <f t="shared" si="269"/>
        <v/>
      </c>
      <c r="AZ693" s="4" t="str">
        <f t="shared" si="270"/>
        <v/>
      </c>
      <c r="BA693" s="4" t="str">
        <f t="shared" si="271"/>
        <v/>
      </c>
    </row>
    <row r="694" spans="51:53">
      <c r="AY694" s="4" t="str">
        <f t="shared" si="269"/>
        <v/>
      </c>
      <c r="AZ694" s="4" t="str">
        <f t="shared" si="270"/>
        <v/>
      </c>
      <c r="BA694" s="4" t="str">
        <f t="shared" si="271"/>
        <v/>
      </c>
    </row>
    <row r="695" spans="51:53">
      <c r="AY695" s="4" t="str">
        <f t="shared" si="269"/>
        <v/>
      </c>
      <c r="AZ695" s="4" t="str">
        <f t="shared" si="270"/>
        <v/>
      </c>
      <c r="BA695" s="4" t="str">
        <f t="shared" si="271"/>
        <v/>
      </c>
    </row>
    <row r="696" spans="51:53">
      <c r="AY696" s="4" t="str">
        <f t="shared" si="269"/>
        <v/>
      </c>
      <c r="AZ696" s="4" t="str">
        <f t="shared" si="270"/>
        <v/>
      </c>
      <c r="BA696" s="4" t="str">
        <f t="shared" si="271"/>
        <v/>
      </c>
    </row>
    <row r="697" spans="51:53">
      <c r="AY697" s="4" t="str">
        <f t="shared" si="269"/>
        <v/>
      </c>
      <c r="AZ697" s="4" t="str">
        <f t="shared" si="270"/>
        <v/>
      </c>
      <c r="BA697" s="4" t="str">
        <f t="shared" si="271"/>
        <v/>
      </c>
    </row>
    <row r="698" spans="51:53">
      <c r="AY698" s="4" t="str">
        <f t="shared" si="269"/>
        <v/>
      </c>
      <c r="AZ698" s="4" t="str">
        <f t="shared" si="270"/>
        <v/>
      </c>
      <c r="BA698" s="4" t="str">
        <f t="shared" si="271"/>
        <v/>
      </c>
    </row>
    <row r="699" spans="51:53">
      <c r="AY699" s="4" t="str">
        <f t="shared" si="269"/>
        <v/>
      </c>
      <c r="AZ699" s="4" t="str">
        <f t="shared" si="270"/>
        <v/>
      </c>
      <c r="BA699" s="4" t="str">
        <f t="shared" si="271"/>
        <v/>
      </c>
    </row>
    <row r="700" spans="51:53">
      <c r="AY700" s="4" t="str">
        <f t="shared" si="269"/>
        <v/>
      </c>
      <c r="AZ700" s="4" t="str">
        <f t="shared" si="270"/>
        <v/>
      </c>
      <c r="BA700" s="4" t="str">
        <f t="shared" si="271"/>
        <v/>
      </c>
    </row>
    <row r="701" spans="51:53">
      <c r="AY701" s="4" t="str">
        <f t="shared" si="269"/>
        <v/>
      </c>
      <c r="AZ701" s="4" t="str">
        <f t="shared" si="270"/>
        <v/>
      </c>
      <c r="BA701" s="4" t="str">
        <f t="shared" si="271"/>
        <v/>
      </c>
    </row>
    <row r="702" spans="51:53">
      <c r="AY702" s="4" t="str">
        <f t="shared" si="269"/>
        <v/>
      </c>
      <c r="AZ702" s="4" t="str">
        <f t="shared" si="270"/>
        <v/>
      </c>
      <c r="BA702" s="4" t="str">
        <f t="shared" si="271"/>
        <v/>
      </c>
    </row>
    <row r="703" spans="51:53">
      <c r="AY703" s="4" t="str">
        <f t="shared" si="269"/>
        <v/>
      </c>
      <c r="AZ703" s="4" t="str">
        <f t="shared" si="270"/>
        <v/>
      </c>
      <c r="BA703" s="4" t="str">
        <f t="shared" si="271"/>
        <v/>
      </c>
    </row>
    <row r="704" spans="51:53">
      <c r="AY704" s="4" t="str">
        <f t="shared" si="269"/>
        <v/>
      </c>
      <c r="AZ704" s="4" t="str">
        <f t="shared" si="270"/>
        <v/>
      </c>
      <c r="BA704" s="4" t="str">
        <f t="shared" si="271"/>
        <v/>
      </c>
    </row>
    <row r="705" spans="51:53">
      <c r="AY705" s="4" t="str">
        <f t="shared" si="269"/>
        <v/>
      </c>
      <c r="AZ705" s="4" t="str">
        <f t="shared" si="270"/>
        <v/>
      </c>
      <c r="BA705" s="4" t="str">
        <f t="shared" si="271"/>
        <v/>
      </c>
    </row>
    <row r="706" spans="51:53">
      <c r="AY706" s="4" t="str">
        <f t="shared" si="269"/>
        <v/>
      </c>
      <c r="AZ706" s="4" t="str">
        <f t="shared" si="270"/>
        <v/>
      </c>
      <c r="BA706" s="4" t="str">
        <f t="shared" si="271"/>
        <v/>
      </c>
    </row>
  </sheetData>
  <mergeCells count="1">
    <mergeCell ref="B298:BD298"/>
  </mergeCells>
  <phoneticPr fontId="0" type="noConversion"/>
  <printOptions horizontalCentered="1"/>
  <pageMargins left="0.25" right="0.25" top="0.27" bottom="0.3" header="0.3" footer="0.3"/>
  <pageSetup scale="85" orientation="landscape" horizontalDpi="300" verticalDpi="300" r:id="rId1"/>
  <headerFooter alignWithMargins="0">
    <oddFooter>&amp;LUMSL Fact Book&amp;C&amp;F&amp;RLast Updated 2019</oddFooter>
  </headerFooter>
  <rowBreaks count="8" manualBreakCount="8">
    <brk id="78" max="53" man="1"/>
    <brk id="131" max="53" man="1"/>
    <brk id="148" max="53" man="1"/>
    <brk id="193" max="53" man="1"/>
    <brk id="238" max="53" man="1"/>
    <brk id="286" max="53" man="1"/>
    <brk id="327" max="16383" man="1"/>
    <brk id="375" max="53" man="1"/>
  </rowBreaks>
  <ignoredErrors>
    <ignoredError sqref="B267 B318:AI318 BD317:BD319 B241:AI241 C201 B245:AK245 E201:AK201 B209:AK211 B255:AK255 B316:AK316 B269:AK269 B260:AK260 B256:D256 BB320:BD320 AX149:BD151 AX194:BD196 AX296:BD306 AX326:BD329 AX339:BD339 BD331:BD338 C142:D142 B134:C134 E134:AK134 B319:B320 D319:AI319 B132 B243:AK243 B317 D317:AI317 B191:AK191 B172 D172:AK172 B339:D339 B17 B301:AK306 E300:AK300 B18:C18 B199:C199 E199:AK199 B14:C14 E17:AK18 B93:AK93 B92:C92 E92:AK92 B77:C77 E77:AK77 B122:AK123 BD183 BD241:BD243 BD266:BD268 AX288:BD290 BD307 B268:C268 E267:AK268 B24:AK24 BD120:BD123 AX193 BD187:BD193 BD270:BD274 BD17:BD18 B321:AK321 C331:D331 AX273 BD245 BD142:BD148 B288:AK294 C274:D274 B197 D197:AK197 B235:AK235 B233:D233 B89:AK89 C91:AK91 E13:AK14 BD13:BD14 BB316:BD316 AX17:AX18 BD62:BD65 B32:AK33 C69:AK69 D320:AK320 B118:AK118 BD201 B79:AK80 BD199 B275:AK275 AX275:BD275 AX14 AX269:BD269 B63:AK65 B41 BB134:BC134 B232:D232 B231:D231 B202:AK202 B206:AK207 BD174 B174:AK174 B185:AK185 C187:D187 B25:B26 B97:B98 D97:AB97 B82:C82 E82:AK82 B230:D230 B213:C213 E213:AK213 BD80:BD82 B35:AK39 B34 D34:AK34 C242:AK242 B324:AK324 B323:D323 BD77 BD256:BD261 D40:AB40 C113:AK113 BD212 B214:AK214 AX185:BD185 AX294:BB294 B183:AI183 B194:AK196 B193:AI193 B188:D188 BD161 B263:AK266 B262:AJ262 AX255:BD255 B27:AK30 BD24:BD41 AX24:AX27 B107:AK107 AX79:BD79 B332:D338 D99:AE99 E98:AB98 C161:AK161 AY24:BC24 D41:H41 Y41:AB41 D25:AB26 B143:D147 BD21:BD22 B21:AK22 AX21:BC21 AY27:BC27 AX35:BC35 AX39:BC39 D62:AK62 AX65:BC65 BD69:BD70 B70:AK70 B74:AK75 D73:AK73 BD72:BD75 AX89:BD89 AX100:BC100 AX107:BD107 AX118:BD118 BD132:BD134 AX148:BC148 AX183:BA183 AX199:BA199 AY314:BA314 AY316:BA320 AX321:BC321 AY134:BA135 AX237:BD240 AX262:BD265 C133:AK133 B114:AK116 BD113:BD116 B121 D120:AK121 B148:AK151 BD152:BD153 B153:AK153 C152:AK152 BD163 B163:AK163 BD95 BD91:BD93 B100:AK102 BD97:BD102 BD321:BD325 BD172 B189:D189 B190:D190 B192:D192 B234:D234 B237:AK240 B236:D236 B257:D257 B258:D258 B259:D259 B261:D261 B273:AK273 B270:D270 B271:D271 B272:D272 B322:D322 B326:AK329 B325:D325 B296:AK299 B295:D295 V295:AK29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  <SharedWithUsers xmlns="2de15e4a-3ead-4749-81b6-4b2ddac7617b">
      <UserInfo>
        <DisplayName>Luong, Andy</DisplayName>
        <AccountId>54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7" ma:contentTypeDescription="Create a new document." ma:contentTypeScope="" ma:versionID="6a51418519fbf6e2e923bb27bdb8ef14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48664bfe634d3c33a6f53dab42998f79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059EE2-C140-40CB-9D56-49A8CA8115D4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61ee009c-bc2c-4805-981c-ecd69552331c"/>
    <ds:schemaRef ds:uri="http://purl.org/dc/elements/1.1/"/>
    <ds:schemaRef ds:uri="afef3cf2-46d5-449d-be2e-5127c23aa99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A54C51-295C-4882-A81A-1A804375E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5B7C10-638A-4BB8-9906-9001F5FDE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UMSL</vt:lpstr>
      <vt:lpstr>UMSL!Print_Area</vt:lpstr>
      <vt:lpstr>UMSL!Print_Titles</vt:lpstr>
    </vt:vector>
  </TitlesOfParts>
  <Manager/>
  <Company>University of Missouri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Chatman</dc:creator>
  <cp:keywords/>
  <dc:description/>
  <cp:lastModifiedBy>Dustman, Felicia</cp:lastModifiedBy>
  <cp:revision/>
  <cp:lastPrinted>2023-01-03T15:10:14Z</cp:lastPrinted>
  <dcterms:created xsi:type="dcterms:W3CDTF">1998-09-16T18:29:56Z</dcterms:created>
  <dcterms:modified xsi:type="dcterms:W3CDTF">2023-01-03T15:10:37Z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</Properties>
</file>